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785" windowHeight="8205" activeTab="0"/>
  </bookViews>
  <sheets>
    <sheet name="Summary" sheetId="1" r:id="rId1"/>
    <sheet name="HORTICULTURE08-09" sheetId="2" r:id="rId2"/>
    <sheet name="FRUITS8-9 " sheetId="3" r:id="rId3"/>
    <sheet name="VEG8-9 " sheetId="4" r:id="rId4"/>
    <sheet name="PLANTATION8-9" sheetId="5" r:id="rId5"/>
    <sheet name="HORTI07-08" sheetId="6" r:id="rId6"/>
    <sheet name="FRUITS7-8" sheetId="7" r:id="rId7"/>
    <sheet name="VEG7-8" sheetId="8" r:id="rId8"/>
    <sheet name="PLANTATION7-8" sheetId="9" r:id="rId9"/>
    <sheet name="HORTICULTURE06-07" sheetId="10" r:id="rId10"/>
    <sheet name="FRUITS6-7" sheetId="11" r:id="rId11"/>
    <sheet name="VEG6-7" sheetId="12" r:id="rId12"/>
    <sheet name="PLANTATION6-7" sheetId="13" r:id="rId13"/>
  </sheets>
  <definedNames>
    <definedName name="_xlnm.Print_Area" localSheetId="10">'FRUITS6-7'!$A$1:$AA$41</definedName>
    <definedName name="_xlnm.Print_Area" localSheetId="6">'FRUITS7-8'!$A$1:$AA$41</definedName>
    <definedName name="_xlnm.Print_Area" localSheetId="2">'FRUITS8-9 '!$A$1:$AA$41</definedName>
    <definedName name="_xlnm.Print_Area" localSheetId="5">'HORTI07-08'!$A$1:$V$48</definedName>
    <definedName name="_xlnm.Print_Area" localSheetId="9">'HORTICULTURE06-07'!$A$1:$V$48</definedName>
    <definedName name="_xlnm.Print_Area" localSheetId="1">'HORTICULTURE08-09'!$A$1:$V$48</definedName>
    <definedName name="_xlnm.Print_Area" localSheetId="12">'PLANTATION6-7'!$A$1:$K$42</definedName>
    <definedName name="_xlnm.Print_Area" localSheetId="8">'PLANTATION7-8'!$A$1:$K$42</definedName>
    <definedName name="_xlnm.Print_Area" localSheetId="4">'PLANTATION8-9'!$A$1:$K$42</definedName>
    <definedName name="_xlnm.Print_Area" localSheetId="0">'Summary'!$A$1:$Q$52</definedName>
    <definedName name="_xlnm.Print_Area" localSheetId="11">'VEG6-7'!$A$1:$Y$41</definedName>
    <definedName name="_xlnm.Print_Area" localSheetId="7">'VEG7-8'!$A$1:$Y$41</definedName>
    <definedName name="_xlnm.Print_Area" localSheetId="3">'VEG8-9 '!$A$1:$Y$41</definedName>
  </definedNames>
  <calcPr fullCalcOnLoad="1"/>
</workbook>
</file>

<file path=xl/sharedStrings.xml><?xml version="1.0" encoding="utf-8"?>
<sst xmlns="http://schemas.openxmlformats.org/spreadsheetml/2006/main" count="964" uniqueCount="158">
  <si>
    <t>STATE/UTs</t>
  </si>
  <si>
    <t>APPLE</t>
  </si>
  <si>
    <t>BANANA</t>
  </si>
  <si>
    <t>CITRUS</t>
  </si>
  <si>
    <t>GRAPE</t>
  </si>
  <si>
    <t>GUAVA</t>
  </si>
  <si>
    <t>LITCHI</t>
  </si>
  <si>
    <t>MANGO</t>
  </si>
  <si>
    <t>PAPAYA</t>
  </si>
  <si>
    <t>PINEAPPLE</t>
  </si>
  <si>
    <t>PG</t>
  </si>
  <si>
    <t>SAPOTA</t>
  </si>
  <si>
    <t>OTHERS</t>
  </si>
  <si>
    <t>TOTAL</t>
  </si>
  <si>
    <t xml:space="preserve">A </t>
  </si>
  <si>
    <t>P</t>
  </si>
  <si>
    <t>ANDAMAN NICOBAR</t>
  </si>
  <si>
    <t>ANDHRA PRADESH</t>
  </si>
  <si>
    <t>ARUNACHAL PRADESH</t>
  </si>
  <si>
    <t>ASSAM</t>
  </si>
  <si>
    <t>BIHAR</t>
  </si>
  <si>
    <t>CHANDIGARH</t>
  </si>
  <si>
    <t>CHHATISHGARH</t>
  </si>
  <si>
    <t>D &amp; N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</si>
  <si>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</si>
  <si>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</si>
  <si>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</si>
  <si>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</si>
  <si>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</si>
  <si>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</si>
  <si>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</si>
  <si>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</si>
  <si>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</si>
  <si>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</si>
  <si>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LAKSHDWEEP</t>
  </si>
  <si>
    <t>MADHYA PRADESH</t>
  </si>
  <si>
    <t>MAHARASHTRA</t>
  </si>
  <si>
    <t>MANIPUR</t>
  </si>
  <si>
    <t>MEGHALAYA</t>
  </si>
  <si>
    <t>MIZORAM</t>
  </si>
  <si>
    <t>NAGALAND</t>
  </si>
  <si>
    <t>ORRISA</t>
  </si>
  <si>
    <t>PONDICHERRY</t>
  </si>
  <si>
    <t>PUNJAB</t>
  </si>
  <si>
    <t>RAJASTHAN</t>
  </si>
  <si>
    <t>SIKKIM</t>
  </si>
  <si>
    <t>TAMIL NADU</t>
  </si>
  <si>
    <t>TRIPURA</t>
  </si>
  <si>
    <t>UTTAR PRADESH</t>
  </si>
  <si>
    <t xml:space="preserve"> </t>
  </si>
  <si>
    <t>UTTRANCHAL</t>
  </si>
  <si>
    <t>WEST BENGAL</t>
  </si>
  <si>
    <t>BRINJAL</t>
  </si>
  <si>
    <t>CABBAGE</t>
  </si>
  <si>
    <t>C.FLOWER</t>
  </si>
  <si>
    <t>OKRA</t>
  </si>
  <si>
    <t>PEAS</t>
  </si>
  <si>
    <t>TOMATO</t>
  </si>
  <si>
    <t>ONION</t>
  </si>
  <si>
    <t>POTATO</t>
  </si>
  <si>
    <t>S.POTATO</t>
  </si>
  <si>
    <t>TAPIOCA</t>
  </si>
  <si>
    <t>A</t>
  </si>
  <si>
    <t>STATE/UT'S</t>
  </si>
  <si>
    <t>Cashewnut</t>
  </si>
  <si>
    <t>Arecanut</t>
  </si>
  <si>
    <t>Cocoa</t>
  </si>
  <si>
    <t>Coconut</t>
  </si>
  <si>
    <t>Total</t>
  </si>
  <si>
    <t>ANDAMAN &amp; NICOBAR</t>
  </si>
  <si>
    <t>CHHATTISGARH</t>
  </si>
  <si>
    <t>LAKSHADWEEP</t>
  </si>
  <si>
    <t>ORISSA</t>
  </si>
  <si>
    <t>TAMILNADU</t>
  </si>
  <si>
    <t>FRUITS</t>
  </si>
  <si>
    <t>VEG.</t>
  </si>
  <si>
    <t>FLOWERS</t>
  </si>
  <si>
    <t xml:space="preserve">AROMATIC </t>
  </si>
  <si>
    <t>ALMOND/    WALNUT</t>
  </si>
  <si>
    <t>SPICES</t>
  </si>
  <si>
    <t>PLANTATION CROPS</t>
  </si>
  <si>
    <t xml:space="preserve">M'ROOM </t>
  </si>
  <si>
    <t xml:space="preserve"> HONEY</t>
  </si>
  <si>
    <t>LOOSE</t>
  </si>
  <si>
    <t>CUT</t>
  </si>
  <si>
    <t>P(Cut)= Production in (lakh Nos)</t>
  </si>
  <si>
    <t>Figure of Production under Grand Total does not include Production of Cut-Flowers</t>
  </si>
  <si>
    <t>Fruits, Vegetables, Flowers, Aromatic/Medicianal Plants and Mushroom - State Directorates of Horticulture</t>
  </si>
  <si>
    <t>Plantation Crops:- Coconut (CDB), Arecanut (Directorate Arecanut &amp; Spice Dev) and Cashew &amp; Cocoa (Directorate of Cashew  &amp; Cocoa Development).</t>
  </si>
  <si>
    <t>Spices : Directorate of Spices</t>
  </si>
  <si>
    <t>Honey - Bee Board</t>
  </si>
  <si>
    <t>Fruits, Vegetables, Flowers, Aromatic/Medicianal Plants and Mushroom, Spices - State Directorates of Horticulture</t>
  </si>
  <si>
    <t>Spices : Directorate of  Arecanut &amp; Spices Development</t>
  </si>
  <si>
    <t>Area &amp; Production Estimates of Horticulture Crops</t>
  </si>
  <si>
    <t>Area ( In '000' HA )</t>
  </si>
  <si>
    <t>Production ( In '000' MT)</t>
  </si>
  <si>
    <t>Crops</t>
  </si>
  <si>
    <t>2006-07</t>
  </si>
  <si>
    <t>Area and Prod. Increase/decrease over corresponding period</t>
  </si>
  <si>
    <t>Area</t>
  </si>
  <si>
    <t>Production</t>
  </si>
  <si>
    <t>Fruits</t>
  </si>
  <si>
    <t>Mango</t>
  </si>
  <si>
    <t>Apple</t>
  </si>
  <si>
    <t>Banana</t>
  </si>
  <si>
    <t>Citrus</t>
  </si>
  <si>
    <t>Guava</t>
  </si>
  <si>
    <t>Grapes</t>
  </si>
  <si>
    <t>Litichi</t>
  </si>
  <si>
    <t>Papaya</t>
  </si>
  <si>
    <t>Pineapple</t>
  </si>
  <si>
    <t>Pomegranate</t>
  </si>
  <si>
    <t>Sapota</t>
  </si>
  <si>
    <t>Others</t>
  </si>
  <si>
    <t>Vegetables</t>
  </si>
  <si>
    <t>Potato</t>
  </si>
  <si>
    <t>Onion</t>
  </si>
  <si>
    <t>Tomato</t>
  </si>
  <si>
    <t>Brinjal</t>
  </si>
  <si>
    <t>Cabbage</t>
  </si>
  <si>
    <t>Cauliflower</t>
  </si>
  <si>
    <t>Okra</t>
  </si>
  <si>
    <t>Peas</t>
  </si>
  <si>
    <t>Tapioca</t>
  </si>
  <si>
    <t>Sweet Potato</t>
  </si>
  <si>
    <t>Aromatic</t>
  </si>
  <si>
    <t>Almond/Walnut</t>
  </si>
  <si>
    <t>Flowers Loose</t>
  </si>
  <si>
    <t>Flowers Cut*</t>
  </si>
  <si>
    <t>Plantation Crops</t>
  </si>
  <si>
    <t xml:space="preserve">Mushroom </t>
  </si>
  <si>
    <t>Honey</t>
  </si>
  <si>
    <t>Spices</t>
  </si>
  <si>
    <t>Percentage growth over corres.years</t>
  </si>
  <si>
    <t>* Lakh Numbers</t>
  </si>
  <si>
    <t>Totals may not match due to rounding off of figures.</t>
  </si>
  <si>
    <t>VEGETABLES</t>
  </si>
  <si>
    <t xml:space="preserve">MUSHROOM </t>
  </si>
  <si>
    <t>2007-08</t>
  </si>
  <si>
    <t>Hort</t>
  </si>
  <si>
    <t>Fruit</t>
  </si>
  <si>
    <t>Veg</t>
  </si>
  <si>
    <t>Plantation</t>
  </si>
  <si>
    <t>2005-06</t>
  </si>
  <si>
    <t>08-09 is based on data received from 14 states and for other states data for 2007-08 is repeated</t>
  </si>
  <si>
    <t>2008-09 (Final)</t>
  </si>
  <si>
    <t>GRAND TOTAL</t>
  </si>
  <si>
    <t>Statewise Area and Production of Various Horticulture Crops for the Year 2008-09</t>
  </si>
  <si>
    <t>Area in 000' ha</t>
  </si>
  <si>
    <t>Production in 000'MT</t>
  </si>
  <si>
    <t>Statewise Area and Production of Fruits for the Year 2008-09</t>
  </si>
  <si>
    <t>Statewise Area and Production of Vegetables for the Year 2008-09</t>
  </si>
  <si>
    <t>Statewise Area and Production of Various Horticulture Crops for the Year 2007-08</t>
  </si>
  <si>
    <t>Statewise Area and Production of Fruits for the Year 2007-08</t>
  </si>
  <si>
    <t>Statewise Area and Production of Vegetables for the Year 2007-08</t>
  </si>
  <si>
    <t>Statewise Area and Production of Various Horticulture Crops for the Year 2006-07</t>
  </si>
  <si>
    <t>Statewise Area and Production of Fruits for the Year 2006-07</t>
  </si>
  <si>
    <t>Statewise Area and Production of Vegetables for the Year 2006-07</t>
  </si>
</sst>
</file>

<file path=xl/styles.xml><?xml version="1.0" encoding="utf-8"?>
<styleSheet xmlns="http://schemas.openxmlformats.org/spreadsheetml/2006/main">
  <numFmts count="5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रु&quot;\ #,##0;&quot;रु&quot;\ \-#,##0"/>
    <numFmt numFmtId="179" formatCode="&quot;रु&quot;\ #,##0;[Red]&quot;रु&quot;\ \-#,##0"/>
    <numFmt numFmtId="180" formatCode="&quot;रु&quot;\ #,##0.00;&quot;रु&quot;\ \-#,##0.00"/>
    <numFmt numFmtId="181" formatCode="&quot;रु&quot;\ #,##0.00;[Red]&quot;रु&quot;\ \-#,##0.00"/>
    <numFmt numFmtId="182" formatCode="_ &quot;रु&quot;\ * #,##0_ ;_ &quot;रु&quot;\ * \-#,##0_ ;_ &quot;रु&quot;\ * &quot;-&quot;_ ;_ @_ "/>
    <numFmt numFmtId="183" formatCode="_ * #,##0_ ;_ * \-#,##0_ ;_ * &quot;-&quot;_ ;_ @_ "/>
    <numFmt numFmtId="184" formatCode="_ &quot;रु&quot;\ * #,##0.00_ ;_ &quot;रु&quot;\ * \-#,##0.00_ ;_ &quot;रु&quot;\ * &quot;-&quot;??_ ;_ @_ "/>
    <numFmt numFmtId="185" formatCode="_ * #,##0.00_ ;_ * \-#,##0.00_ ;_ * &quot;-&quot;??_ ;_ @_ "/>
    <numFmt numFmtId="186" formatCode="0.0"/>
    <numFmt numFmtId="187" formatCode="0.0%"/>
    <numFmt numFmtId="188" formatCode="0.0000E+00"/>
    <numFmt numFmtId="189" formatCode="0.000E+00"/>
    <numFmt numFmtId="190" formatCode="0.0E+00"/>
    <numFmt numFmtId="191" formatCode="0E+00"/>
    <numFmt numFmtId="192" formatCode="0.00000E+00"/>
    <numFmt numFmtId="193" formatCode="0.000000E+00"/>
    <numFmt numFmtId="194" formatCode="0.0000000E+00"/>
    <numFmt numFmtId="195" formatCode="0.00000000E+00"/>
    <numFmt numFmtId="196" formatCode="0.0;[Red]0.0"/>
    <numFmt numFmtId="197" formatCode="0.00;[Red]0.00"/>
    <numFmt numFmtId="198" formatCode="0.00000"/>
    <numFmt numFmtId="199" formatCode="0.0000"/>
    <numFmt numFmtId="200" formatCode="0.000"/>
    <numFmt numFmtId="201" formatCode="0;[Red]0"/>
    <numFmt numFmtId="202" formatCode="#,##0.0"/>
    <numFmt numFmtId="203" formatCode="[$-409]dddd\,\ mmmm\ dd\,\ yyyy"/>
    <numFmt numFmtId="204" formatCode="0.000000000000000"/>
    <numFmt numFmtId="205" formatCode="0.0000;[Red]0.0000"/>
    <numFmt numFmtId="206" formatCode="0.000;[Red]0.000"/>
    <numFmt numFmtId="207" formatCode="0.0000000"/>
    <numFmt numFmtId="208" formatCode="0.000000"/>
    <numFmt numFmtId="209" formatCode="[$-409]h:mm:ss\ AM/PM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8"/>
      <name val="Arial"/>
      <family val="2"/>
    </font>
    <font>
      <b/>
      <u val="single"/>
      <sz val="1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i/>
      <sz val="10"/>
      <name val="Tahoma"/>
      <family val="2"/>
    </font>
    <font>
      <sz val="8"/>
      <color indexed="10"/>
      <name val="Times New Roman"/>
      <family val="1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186" fontId="26" fillId="24" borderId="10" xfId="71" applyNumberFormat="1" applyFont="1" applyFill="1" applyBorder="1" applyAlignment="1">
      <alignment vertical="top" wrapText="1"/>
      <protection/>
    </xf>
    <xf numFmtId="186" fontId="21" fillId="24" borderId="10" xfId="73" applyNumberFormat="1" applyFont="1" applyFill="1" applyBorder="1">
      <alignment/>
      <protection/>
    </xf>
    <xf numFmtId="186" fontId="21" fillId="24" borderId="10" xfId="71" applyNumberFormat="1" applyFont="1" applyFill="1" applyBorder="1">
      <alignment/>
      <protection/>
    </xf>
    <xf numFmtId="1" fontId="21" fillId="24" borderId="10" xfId="71" applyNumberFormat="1" applyFont="1" applyFill="1" applyBorder="1">
      <alignment/>
      <protection/>
    </xf>
    <xf numFmtId="186" fontId="26" fillId="24" borderId="10" xfId="71" applyNumberFormat="1" applyFont="1" applyFill="1" applyBorder="1">
      <alignment/>
      <protection/>
    </xf>
    <xf numFmtId="186" fontId="27" fillId="24" borderId="10" xfId="71" applyNumberFormat="1" applyFont="1" applyFill="1" applyBorder="1">
      <alignment/>
      <protection/>
    </xf>
    <xf numFmtId="186" fontId="28" fillId="24" borderId="10" xfId="71" applyNumberFormat="1" applyFont="1" applyFill="1" applyBorder="1">
      <alignment/>
      <protection/>
    </xf>
    <xf numFmtId="186" fontId="27" fillId="24" borderId="10" xfId="71" applyNumberFormat="1" applyFont="1" applyFill="1" applyBorder="1" applyAlignment="1">
      <alignment vertical="top" wrapText="1"/>
      <protection/>
    </xf>
    <xf numFmtId="186" fontId="25" fillId="24" borderId="11" xfId="71" applyNumberFormat="1" applyFont="1" applyFill="1" applyBorder="1">
      <alignment/>
      <protection/>
    </xf>
    <xf numFmtId="0" fontId="27" fillId="24" borderId="0" xfId="71" applyFont="1" applyFill="1" applyBorder="1">
      <alignment/>
      <protection/>
    </xf>
    <xf numFmtId="0" fontId="31" fillId="24" borderId="0" xfId="74" applyFont="1" applyFill="1" applyBorder="1">
      <alignment/>
      <protection/>
    </xf>
    <xf numFmtId="186" fontId="31" fillId="24" borderId="0" xfId="74" applyNumberFormat="1" applyFont="1" applyFill="1" applyBorder="1">
      <alignment/>
      <protection/>
    </xf>
    <xf numFmtId="1" fontId="31" fillId="24" borderId="0" xfId="74" applyNumberFormat="1" applyFont="1" applyFill="1" applyBorder="1" applyAlignment="1">
      <alignment horizontal="right" indent="1"/>
      <protection/>
    </xf>
    <xf numFmtId="186" fontId="31" fillId="24" borderId="0" xfId="74" applyNumberFormat="1" applyFont="1" applyFill="1" applyBorder="1" applyAlignment="1">
      <alignment vertical="center"/>
      <protection/>
    </xf>
    <xf numFmtId="0" fontId="31" fillId="24" borderId="0" xfId="74" applyFont="1" applyFill="1" applyBorder="1" applyAlignment="1">
      <alignment vertical="center"/>
      <protection/>
    </xf>
    <xf numFmtId="1" fontId="32" fillId="24" borderId="0" xfId="74" applyNumberFormat="1" applyFont="1" applyFill="1" applyBorder="1" applyAlignment="1">
      <alignment horizontal="right" vertical="center" indent="1"/>
      <protection/>
    </xf>
    <xf numFmtId="0" fontId="32" fillId="24" borderId="0" xfId="74" applyFont="1" applyFill="1" applyBorder="1" applyAlignment="1">
      <alignment horizontal="center" vertical="center"/>
      <protection/>
    </xf>
    <xf numFmtId="0" fontId="33" fillId="24" borderId="0" xfId="74" applyFont="1" applyFill="1" applyBorder="1" applyAlignment="1">
      <alignment vertical="center"/>
      <protection/>
    </xf>
    <xf numFmtId="1" fontId="31" fillId="24" borderId="0" xfId="74" applyNumberFormat="1" applyFont="1" applyFill="1" applyBorder="1" applyAlignment="1">
      <alignment horizontal="right" vertical="center" indent="1"/>
      <protection/>
    </xf>
    <xf numFmtId="0" fontId="31" fillId="24" borderId="0" xfId="74" applyFont="1" applyFill="1" applyBorder="1" applyAlignment="1">
      <alignment horizontal="center" vertical="center"/>
      <protection/>
    </xf>
    <xf numFmtId="0" fontId="31" fillId="24" borderId="0" xfId="74" applyFont="1" applyFill="1" applyBorder="1" applyAlignment="1">
      <alignment horizontal="left" vertical="center" indent="1"/>
      <protection/>
    </xf>
    <xf numFmtId="1" fontId="31" fillId="24" borderId="0" xfId="74" applyNumberFormat="1" applyFont="1" applyFill="1" applyBorder="1" applyAlignment="1">
      <alignment vertical="center"/>
      <protection/>
    </xf>
    <xf numFmtId="0" fontId="32" fillId="24" borderId="0" xfId="74" applyFont="1" applyFill="1" applyBorder="1" applyAlignment="1">
      <alignment horizontal="left" vertical="center" indent="1"/>
      <protection/>
    </xf>
    <xf numFmtId="201" fontId="32" fillId="24" borderId="0" xfId="74" applyNumberFormat="1" applyFont="1" applyFill="1" applyBorder="1" applyAlignment="1">
      <alignment horizontal="right" vertical="center" indent="1"/>
      <protection/>
    </xf>
    <xf numFmtId="1" fontId="32" fillId="24" borderId="0" xfId="74" applyNumberFormat="1" applyFont="1" applyFill="1" applyBorder="1" applyAlignment="1">
      <alignment vertical="center"/>
      <protection/>
    </xf>
    <xf numFmtId="186" fontId="32" fillId="24" borderId="0" xfId="74" applyNumberFormat="1" applyFont="1" applyFill="1" applyBorder="1" applyAlignment="1">
      <alignment vertical="center"/>
      <protection/>
    </xf>
    <xf numFmtId="0" fontId="32" fillId="24" borderId="0" xfId="74" applyFont="1" applyFill="1" applyBorder="1" applyAlignment="1">
      <alignment vertical="center"/>
      <protection/>
    </xf>
    <xf numFmtId="0" fontId="30" fillId="24" borderId="0" xfId="74" applyFont="1" applyFill="1" applyBorder="1" applyAlignment="1">
      <alignment horizontal="left" vertical="center"/>
      <protection/>
    </xf>
    <xf numFmtId="0" fontId="31" fillId="24" borderId="0" xfId="74" applyFont="1" applyFill="1" applyBorder="1" applyAlignment="1">
      <alignment horizontal="right" vertical="center" indent="1"/>
      <protection/>
    </xf>
    <xf numFmtId="0" fontId="33" fillId="24" borderId="0" xfId="74" applyFont="1" applyFill="1" applyBorder="1" applyAlignment="1">
      <alignment horizontal="left" vertical="center"/>
      <protection/>
    </xf>
    <xf numFmtId="2" fontId="33" fillId="24" borderId="0" xfId="74" applyNumberFormat="1" applyFont="1" applyFill="1" applyBorder="1" applyAlignment="1">
      <alignment horizontal="left" vertical="center"/>
      <protection/>
    </xf>
    <xf numFmtId="2" fontId="32" fillId="24" borderId="0" xfId="74" applyNumberFormat="1" applyFont="1" applyFill="1" applyBorder="1" applyAlignment="1">
      <alignment horizontal="right" vertical="center"/>
      <protection/>
    </xf>
    <xf numFmtId="2" fontId="31" fillId="24" borderId="0" xfId="74" applyNumberFormat="1" applyFont="1" applyFill="1" applyBorder="1" applyAlignment="1">
      <alignment horizontal="left"/>
      <protection/>
    </xf>
    <xf numFmtId="0" fontId="34" fillId="24" borderId="0" xfId="74" applyFont="1" applyFill="1" applyBorder="1">
      <alignment/>
      <protection/>
    </xf>
    <xf numFmtId="186" fontId="24" fillId="24" borderId="10" xfId="0" applyNumberFormat="1" applyFont="1" applyFill="1" applyBorder="1" applyAlignment="1">
      <alignment horizontal="center" vertical="top" wrapText="1"/>
    </xf>
    <xf numFmtId="0" fontId="24" fillId="24" borderId="0" xfId="0" applyFont="1" applyFill="1" applyAlignment="1">
      <alignment horizontal="center"/>
    </xf>
    <xf numFmtId="186" fontId="20" fillId="24" borderId="10" xfId="0" applyNumberFormat="1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186" fontId="0" fillId="24" borderId="10" xfId="0" applyNumberFormat="1" applyFill="1" applyBorder="1" applyAlignment="1">
      <alignment/>
    </xf>
    <xf numFmtId="186" fontId="24" fillId="24" borderId="10" xfId="0" applyNumberFormat="1" applyFont="1" applyFill="1" applyBorder="1" applyAlignment="1">
      <alignment/>
    </xf>
    <xf numFmtId="186" fontId="0" fillId="24" borderId="0" xfId="0" applyNumberFormat="1" applyFill="1" applyAlignment="1">
      <alignment/>
    </xf>
    <xf numFmtId="0" fontId="0" fillId="24" borderId="0" xfId="0" applyFill="1" applyAlignment="1">
      <alignment/>
    </xf>
    <xf numFmtId="200" fontId="24" fillId="24" borderId="10" xfId="0" applyNumberFormat="1" applyFont="1" applyFill="1" applyBorder="1" applyAlignment="1">
      <alignment/>
    </xf>
    <xf numFmtId="0" fontId="24" fillId="24" borderId="0" xfId="0" applyFont="1" applyFill="1" applyAlignment="1">
      <alignment/>
    </xf>
    <xf numFmtId="186" fontId="24" fillId="24" borderId="0" xfId="0" applyNumberFormat="1" applyFont="1" applyFill="1" applyAlignment="1">
      <alignment/>
    </xf>
    <xf numFmtId="0" fontId="0" fillId="24" borderId="0" xfId="0" applyFill="1" applyBorder="1" applyAlignment="1">
      <alignment/>
    </xf>
    <xf numFmtId="196" fontId="20" fillId="24" borderId="10" xfId="0" applyNumberFormat="1" applyFont="1" applyFill="1" applyBorder="1" applyAlignment="1">
      <alignment horizontal="center"/>
    </xf>
    <xf numFmtId="196" fontId="21" fillId="24" borderId="10" xfId="0" applyNumberFormat="1" applyFont="1" applyFill="1" applyBorder="1" applyAlignment="1">
      <alignment horizontal="center"/>
    </xf>
    <xf numFmtId="200" fontId="20" fillId="24" borderId="10" xfId="0" applyNumberFormat="1" applyFont="1" applyFill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0" fillId="24" borderId="0" xfId="0" applyNumberFormat="1" applyFill="1" applyAlignment="1">
      <alignment/>
    </xf>
    <xf numFmtId="196" fontId="20" fillId="24" borderId="10" xfId="0" applyNumberFormat="1" applyFont="1" applyFill="1" applyBorder="1" applyAlignment="1">
      <alignment/>
    </xf>
    <xf numFmtId="186" fontId="21" fillId="24" borderId="10" xfId="0" applyNumberFormat="1" applyFont="1" applyFill="1" applyBorder="1" applyAlignment="1">
      <alignment/>
    </xf>
    <xf numFmtId="186" fontId="20" fillId="24" borderId="10" xfId="0" applyNumberFormat="1" applyFont="1" applyFill="1" applyBorder="1" applyAlignment="1">
      <alignment/>
    </xf>
    <xf numFmtId="0" fontId="20" fillId="24" borderId="10" xfId="0" applyFont="1" applyFill="1" applyBorder="1" applyAlignment="1">
      <alignment/>
    </xf>
    <xf numFmtId="186" fontId="0" fillId="24" borderId="0" xfId="0" applyNumberFormat="1" applyFont="1" applyFill="1" applyBorder="1" applyAlignment="1">
      <alignment/>
    </xf>
    <xf numFmtId="186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186" fontId="21" fillId="24" borderId="10" xfId="62" applyNumberFormat="1" applyFont="1" applyFill="1" applyBorder="1">
      <alignment/>
      <protection/>
    </xf>
    <xf numFmtId="186" fontId="21" fillId="24" borderId="12" xfId="0" applyNumberFormat="1" applyFont="1" applyFill="1" applyBorder="1" applyAlignment="1">
      <alignment/>
    </xf>
    <xf numFmtId="196" fontId="20" fillId="24" borderId="10" xfId="57" applyNumberFormat="1" applyFont="1" applyFill="1" applyBorder="1">
      <alignment/>
      <protection/>
    </xf>
    <xf numFmtId="186" fontId="21" fillId="24" borderId="10" xfId="57" applyNumberFormat="1" applyFont="1" applyFill="1" applyBorder="1">
      <alignment/>
      <protection/>
    </xf>
    <xf numFmtId="186" fontId="0" fillId="24" borderId="0" xfId="57" applyNumberFormat="1" applyFill="1">
      <alignment/>
      <protection/>
    </xf>
    <xf numFmtId="0" fontId="0" fillId="24" borderId="0" xfId="57" applyFill="1">
      <alignment/>
      <protection/>
    </xf>
    <xf numFmtId="0" fontId="21" fillId="24" borderId="0" xfId="0" applyFont="1" applyFill="1" applyAlignment="1">
      <alignment/>
    </xf>
    <xf numFmtId="0" fontId="20" fillId="24" borderId="0" xfId="0" applyFont="1" applyFill="1" applyAlignment="1">
      <alignment/>
    </xf>
    <xf numFmtId="186" fontId="21" fillId="24" borderId="0" xfId="0" applyNumberFormat="1" applyFont="1" applyFill="1" applyAlignment="1">
      <alignment/>
    </xf>
    <xf numFmtId="0" fontId="20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/>
    </xf>
    <xf numFmtId="200" fontId="23" fillId="24" borderId="10" xfId="0" applyNumberFormat="1" applyFont="1" applyFill="1" applyBorder="1" applyAlignment="1">
      <alignment/>
    </xf>
    <xf numFmtId="200" fontId="21" fillId="24" borderId="0" xfId="0" applyNumberFormat="1" applyFont="1" applyFill="1" applyAlignment="1">
      <alignment/>
    </xf>
    <xf numFmtId="186" fontId="23" fillId="24" borderId="10" xfId="0" applyNumberFormat="1" applyFont="1" applyFill="1" applyBorder="1" applyAlignment="1">
      <alignment/>
    </xf>
    <xf numFmtId="186" fontId="21" fillId="24" borderId="0" xfId="0" applyNumberFormat="1" applyFont="1" applyFill="1" applyBorder="1" applyAlignment="1">
      <alignment/>
    </xf>
    <xf numFmtId="186" fontId="23" fillId="24" borderId="0" xfId="0" applyNumberFormat="1" applyFont="1" applyFill="1" applyBorder="1" applyAlignment="1">
      <alignment/>
    </xf>
    <xf numFmtId="0" fontId="20" fillId="24" borderId="10" xfId="57" applyFont="1" applyFill="1" applyBorder="1">
      <alignment/>
      <protection/>
    </xf>
    <xf numFmtId="0" fontId="21" fillId="24" borderId="0" xfId="57" applyFont="1" applyFill="1">
      <alignment/>
      <protection/>
    </xf>
    <xf numFmtId="186" fontId="25" fillId="24" borderId="10" xfId="72" applyNumberFormat="1" applyFont="1" applyFill="1" applyBorder="1" applyAlignment="1">
      <alignment vertical="top" wrapText="1"/>
      <protection/>
    </xf>
    <xf numFmtId="0" fontId="25" fillId="24" borderId="10" xfId="72" applyFont="1" applyFill="1" applyBorder="1" applyAlignment="1">
      <alignment horizontal="center" vertical="top" wrapText="1"/>
      <protection/>
    </xf>
    <xf numFmtId="0" fontId="25" fillId="24" borderId="10" xfId="72" applyFont="1" applyFill="1" applyBorder="1" applyAlignment="1">
      <alignment vertical="top"/>
      <protection/>
    </xf>
    <xf numFmtId="0" fontId="25" fillId="24" borderId="0" xfId="72" applyFont="1" applyFill="1" applyBorder="1" applyAlignment="1">
      <alignment vertical="top"/>
      <protection/>
    </xf>
    <xf numFmtId="186" fontId="25" fillId="24" borderId="10" xfId="72" applyNumberFormat="1" applyFont="1" applyFill="1" applyBorder="1" applyAlignment="1">
      <alignment horizontal="center" vertical="top" wrapText="1"/>
      <protection/>
    </xf>
    <xf numFmtId="200" fontId="25" fillId="24" borderId="10" xfId="72" applyNumberFormat="1" applyFont="1" applyFill="1" applyBorder="1" applyAlignment="1">
      <alignment horizontal="center" vertical="top" wrapText="1"/>
      <protection/>
    </xf>
    <xf numFmtId="186" fontId="26" fillId="24" borderId="10" xfId="72" applyNumberFormat="1" applyFont="1" applyFill="1" applyBorder="1" applyAlignment="1">
      <alignment horizontal="center" vertical="top" wrapText="1"/>
      <protection/>
    </xf>
    <xf numFmtId="200" fontId="26" fillId="24" borderId="10" xfId="72" applyNumberFormat="1" applyFont="1" applyFill="1" applyBorder="1" applyAlignment="1">
      <alignment horizontal="center" vertical="top" wrapText="1"/>
      <protection/>
    </xf>
    <xf numFmtId="0" fontId="26" fillId="24" borderId="10" xfId="72" applyFont="1" applyFill="1" applyBorder="1" applyAlignment="1">
      <alignment horizontal="center" vertical="top" wrapText="1"/>
      <protection/>
    </xf>
    <xf numFmtId="0" fontId="25" fillId="24" borderId="11" xfId="72" applyFont="1" applyFill="1" applyBorder="1" applyAlignment="1">
      <alignment vertical="top"/>
      <protection/>
    </xf>
    <xf numFmtId="0" fontId="26" fillId="24" borderId="0" xfId="72" applyFont="1" applyFill="1" applyBorder="1" applyAlignment="1">
      <alignment vertical="top"/>
      <protection/>
    </xf>
    <xf numFmtId="186" fontId="25" fillId="24" borderId="10" xfId="72" applyNumberFormat="1" applyFont="1" applyFill="1" applyBorder="1">
      <alignment/>
      <protection/>
    </xf>
    <xf numFmtId="200" fontId="26" fillId="24" borderId="10" xfId="72" applyNumberFormat="1" applyFont="1" applyFill="1" applyBorder="1">
      <alignment/>
      <protection/>
    </xf>
    <xf numFmtId="186" fontId="26" fillId="24" borderId="10" xfId="72" applyNumberFormat="1" applyFont="1" applyFill="1" applyBorder="1" applyAlignment="1">
      <alignment vertical="top" wrapText="1"/>
      <protection/>
    </xf>
    <xf numFmtId="186" fontId="21" fillId="24" borderId="10" xfId="72" applyNumberFormat="1" applyFont="1" applyFill="1" applyBorder="1">
      <alignment/>
      <protection/>
    </xf>
    <xf numFmtId="1" fontId="21" fillId="24" borderId="10" xfId="72" applyNumberFormat="1" applyFont="1" applyFill="1" applyBorder="1">
      <alignment/>
      <protection/>
    </xf>
    <xf numFmtId="186" fontId="26" fillId="24" borderId="10" xfId="72" applyNumberFormat="1" applyFont="1" applyFill="1" applyBorder="1">
      <alignment/>
      <protection/>
    </xf>
    <xf numFmtId="200" fontId="27" fillId="24" borderId="10" xfId="72" applyNumberFormat="1" applyFont="1" applyFill="1" applyBorder="1">
      <alignment/>
      <protection/>
    </xf>
    <xf numFmtId="186" fontId="25" fillId="24" borderId="11" xfId="72" applyNumberFormat="1" applyFont="1" applyFill="1" applyBorder="1">
      <alignment/>
      <protection/>
    </xf>
    <xf numFmtId="0" fontId="26" fillId="24" borderId="0" xfId="72" applyFont="1" applyFill="1" applyBorder="1">
      <alignment/>
      <protection/>
    </xf>
    <xf numFmtId="186" fontId="21" fillId="24" borderId="13" xfId="72" applyNumberFormat="1" applyFont="1" applyFill="1" applyBorder="1">
      <alignment/>
      <protection/>
    </xf>
    <xf numFmtId="1" fontId="21" fillId="24" borderId="13" xfId="72" applyNumberFormat="1" applyFont="1" applyFill="1" applyBorder="1">
      <alignment/>
      <protection/>
    </xf>
    <xf numFmtId="186" fontId="27" fillId="24" borderId="10" xfId="72" applyNumberFormat="1" applyFont="1" applyFill="1" applyBorder="1">
      <alignment/>
      <protection/>
    </xf>
    <xf numFmtId="186" fontId="26" fillId="24" borderId="0" xfId="72" applyNumberFormat="1" applyFont="1" applyFill="1" applyBorder="1" applyAlignment="1">
      <alignment vertical="top" wrapText="1"/>
      <protection/>
    </xf>
    <xf numFmtId="1" fontId="26" fillId="24" borderId="0" xfId="72" applyNumberFormat="1" applyFont="1" applyFill="1" applyBorder="1" applyAlignment="1">
      <alignment vertical="top" wrapText="1"/>
      <protection/>
    </xf>
    <xf numFmtId="186" fontId="26" fillId="24" borderId="10" xfId="72" applyNumberFormat="1" applyFont="1" applyFill="1" applyBorder="1" applyAlignment="1">
      <alignment horizontal="right" vertical="top" wrapText="1"/>
      <protection/>
    </xf>
    <xf numFmtId="186" fontId="26" fillId="24" borderId="0" xfId="72" applyNumberFormat="1" applyFont="1" applyFill="1" applyBorder="1">
      <alignment/>
      <protection/>
    </xf>
    <xf numFmtId="186" fontId="28" fillId="24" borderId="10" xfId="72" applyNumberFormat="1" applyFont="1" applyFill="1" applyBorder="1">
      <alignment/>
      <protection/>
    </xf>
    <xf numFmtId="186" fontId="27" fillId="24" borderId="10" xfId="72" applyNumberFormat="1" applyFont="1" applyFill="1" applyBorder="1" applyAlignment="1">
      <alignment vertical="top" wrapText="1"/>
      <protection/>
    </xf>
    <xf numFmtId="0" fontId="27" fillId="24" borderId="0" xfId="72" applyFont="1" applyFill="1" applyBorder="1">
      <alignment/>
      <protection/>
    </xf>
    <xf numFmtId="186" fontId="27" fillId="24" borderId="0" xfId="72" applyNumberFormat="1" applyFont="1" applyFill="1" applyBorder="1">
      <alignment/>
      <protection/>
    </xf>
    <xf numFmtId="1" fontId="29" fillId="24" borderId="10" xfId="72" applyNumberFormat="1" applyFont="1" applyFill="1" applyBorder="1">
      <alignment/>
      <protection/>
    </xf>
    <xf numFmtId="186" fontId="26" fillId="24" borderId="10" xfId="72" applyNumberFormat="1" applyFont="1" applyFill="1" applyBorder="1" applyAlignment="1">
      <alignment horizontal="right"/>
      <protection/>
    </xf>
    <xf numFmtId="186" fontId="21" fillId="24" borderId="10" xfId="72" applyNumberFormat="1" applyFont="1" applyFill="1" applyBorder="1" applyAlignment="1">
      <alignment vertical="top" wrapText="1"/>
      <protection/>
    </xf>
    <xf numFmtId="1" fontId="25" fillId="24" borderId="10" xfId="72" applyNumberFormat="1" applyFont="1" applyFill="1" applyBorder="1">
      <alignment/>
      <protection/>
    </xf>
    <xf numFmtId="186" fontId="25" fillId="24" borderId="0" xfId="72" applyNumberFormat="1" applyFont="1" applyFill="1" applyBorder="1">
      <alignment/>
      <protection/>
    </xf>
    <xf numFmtId="0" fontId="26" fillId="24" borderId="0" xfId="72" applyFont="1" applyFill="1" applyBorder="1" applyAlignment="1">
      <alignment/>
      <protection/>
    </xf>
    <xf numFmtId="0" fontId="26" fillId="24" borderId="0" xfId="72" applyFont="1" applyFill="1" applyBorder="1" applyAlignment="1">
      <alignment horizontal="center"/>
      <protection/>
    </xf>
    <xf numFmtId="186" fontId="26" fillId="24" borderId="0" xfId="72" applyNumberFormat="1" applyFont="1" applyFill="1" applyBorder="1" applyAlignment="1">
      <alignment horizontal="center"/>
      <protection/>
    </xf>
    <xf numFmtId="186" fontId="26" fillId="24" borderId="0" xfId="72" applyNumberFormat="1" applyFont="1" applyFill="1" applyBorder="1" applyAlignment="1">
      <alignment/>
      <protection/>
    </xf>
    <xf numFmtId="0" fontId="26" fillId="24" borderId="0" xfId="72" applyNumberFormat="1" applyFont="1" applyFill="1" applyBorder="1" applyAlignment="1">
      <alignment vertical="top" wrapText="1"/>
      <protection/>
    </xf>
    <xf numFmtId="0" fontId="26" fillId="24" borderId="0" xfId="72" applyFont="1" applyFill="1" applyBorder="1" applyAlignment="1">
      <alignment vertical="top" wrapText="1"/>
      <protection/>
    </xf>
    <xf numFmtId="0" fontId="25" fillId="24" borderId="0" xfId="72" applyFont="1" applyFill="1" applyBorder="1" applyAlignment="1">
      <alignment/>
      <protection/>
    </xf>
    <xf numFmtId="0" fontId="25" fillId="24" borderId="0" xfId="72" applyFont="1" applyFill="1" applyBorder="1">
      <alignment/>
      <protection/>
    </xf>
    <xf numFmtId="186" fontId="25" fillId="24" borderId="0" xfId="72" applyNumberFormat="1" applyFont="1" applyFill="1" applyBorder="1" applyAlignment="1">
      <alignment horizontal="left" vertical="center"/>
      <protection/>
    </xf>
    <xf numFmtId="186" fontId="24" fillId="24" borderId="10" xfId="57" applyNumberFormat="1" applyFont="1" applyFill="1" applyBorder="1" applyAlignment="1">
      <alignment horizontal="center" vertical="top" wrapText="1"/>
      <protection/>
    </xf>
    <xf numFmtId="0" fontId="24" fillId="24" borderId="0" xfId="57" applyFont="1" applyFill="1" applyAlignment="1">
      <alignment horizontal="center"/>
      <protection/>
    </xf>
    <xf numFmtId="186" fontId="20" fillId="24" borderId="10" xfId="57" applyNumberFormat="1" applyFont="1" applyFill="1" applyBorder="1" applyAlignment="1">
      <alignment horizontal="center" vertical="top" wrapText="1"/>
      <protection/>
    </xf>
    <xf numFmtId="1" fontId="20" fillId="24" borderId="10" xfId="57" applyNumberFormat="1" applyFont="1" applyFill="1" applyBorder="1" applyAlignment="1">
      <alignment horizontal="center" vertical="top" wrapText="1"/>
      <protection/>
    </xf>
    <xf numFmtId="0" fontId="0" fillId="24" borderId="0" xfId="57" applyFont="1" applyFill="1" applyAlignment="1">
      <alignment horizontal="center"/>
      <protection/>
    </xf>
    <xf numFmtId="186" fontId="0" fillId="24" borderId="10" xfId="57" applyNumberFormat="1" applyFont="1" applyFill="1" applyBorder="1">
      <alignment/>
      <protection/>
    </xf>
    <xf numFmtId="1" fontId="0" fillId="24" borderId="10" xfId="57" applyNumberFormat="1" applyFont="1" applyFill="1" applyBorder="1">
      <alignment/>
      <protection/>
    </xf>
    <xf numFmtId="186" fontId="24" fillId="24" borderId="10" xfId="57" applyNumberFormat="1" applyFont="1" applyFill="1" applyBorder="1">
      <alignment/>
      <protection/>
    </xf>
    <xf numFmtId="0" fontId="0" fillId="24" borderId="0" xfId="57" applyFont="1" applyFill="1">
      <alignment/>
      <protection/>
    </xf>
    <xf numFmtId="200" fontId="0" fillId="24" borderId="10" xfId="57" applyNumberFormat="1" applyFont="1" applyFill="1" applyBorder="1">
      <alignment/>
      <protection/>
    </xf>
    <xf numFmtId="200" fontId="0" fillId="24" borderId="1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200" fontId="24" fillId="24" borderId="10" xfId="57" applyNumberFormat="1" applyFont="1" applyFill="1" applyBorder="1">
      <alignment/>
      <protection/>
    </xf>
    <xf numFmtId="186" fontId="0" fillId="24" borderId="10" xfId="0" applyNumberFormat="1" applyFont="1" applyFill="1" applyBorder="1" applyAlignment="1">
      <alignment/>
    </xf>
    <xf numFmtId="1" fontId="24" fillId="24" borderId="10" xfId="57" applyNumberFormat="1" applyFont="1" applyFill="1" applyBorder="1">
      <alignment/>
      <protection/>
    </xf>
    <xf numFmtId="0" fontId="24" fillId="24" borderId="0" xfId="57" applyFont="1" applyFill="1">
      <alignment/>
      <protection/>
    </xf>
    <xf numFmtId="186" fontId="0" fillId="24" borderId="0" xfId="57" applyNumberFormat="1" applyFont="1" applyFill="1">
      <alignment/>
      <protection/>
    </xf>
    <xf numFmtId="1" fontId="0" fillId="24" borderId="0" xfId="57" applyNumberFormat="1" applyFont="1" applyFill="1">
      <alignment/>
      <protection/>
    </xf>
    <xf numFmtId="186" fontId="24" fillId="24" borderId="0" xfId="57" applyNumberFormat="1" applyFont="1" applyFill="1">
      <alignment/>
      <protection/>
    </xf>
    <xf numFmtId="0" fontId="0" fillId="24" borderId="0" xfId="57" applyFont="1" applyFill="1" applyBorder="1">
      <alignment/>
      <protection/>
    </xf>
    <xf numFmtId="196" fontId="20" fillId="24" borderId="10" xfId="57" applyNumberFormat="1" applyFont="1" applyFill="1" applyBorder="1" applyAlignment="1">
      <alignment horizontal="center"/>
      <protection/>
    </xf>
    <xf numFmtId="0" fontId="0" fillId="24" borderId="0" xfId="57" applyFill="1" applyBorder="1">
      <alignment/>
      <protection/>
    </xf>
    <xf numFmtId="196" fontId="21" fillId="24" borderId="10" xfId="57" applyNumberFormat="1" applyFont="1" applyFill="1" applyBorder="1" applyAlignment="1">
      <alignment horizontal="center"/>
      <protection/>
    </xf>
    <xf numFmtId="196" fontId="21" fillId="24" borderId="10" xfId="57" applyNumberFormat="1" applyFont="1" applyFill="1" applyBorder="1">
      <alignment/>
      <protection/>
    </xf>
    <xf numFmtId="206" fontId="21" fillId="24" borderId="10" xfId="57" applyNumberFormat="1" applyFont="1" applyFill="1" applyBorder="1">
      <alignment/>
      <protection/>
    </xf>
    <xf numFmtId="206" fontId="20" fillId="24" borderId="10" xfId="57" applyNumberFormat="1" applyFont="1" applyFill="1" applyBorder="1">
      <alignment/>
      <protection/>
    </xf>
    <xf numFmtId="196" fontId="21" fillId="24" borderId="10" xfId="0" applyNumberFormat="1" applyFont="1" applyFill="1" applyBorder="1" applyAlignment="1">
      <alignment/>
    </xf>
    <xf numFmtId="186" fontId="0" fillId="24" borderId="0" xfId="57" applyNumberFormat="1" applyFill="1" applyBorder="1">
      <alignment/>
      <protection/>
    </xf>
    <xf numFmtId="196" fontId="21" fillId="24" borderId="10" xfId="62" applyNumberFormat="1" applyFont="1" applyFill="1" applyBorder="1">
      <alignment/>
      <protection/>
    </xf>
    <xf numFmtId="206" fontId="21" fillId="24" borderId="10" xfId="0" applyNumberFormat="1" applyFont="1" applyFill="1" applyBorder="1" applyAlignment="1">
      <alignment/>
    </xf>
    <xf numFmtId="206" fontId="20" fillId="24" borderId="10" xfId="0" applyNumberFormat="1" applyFont="1" applyFill="1" applyBorder="1" applyAlignment="1">
      <alignment/>
    </xf>
    <xf numFmtId="205" fontId="0" fillId="24" borderId="0" xfId="57" applyNumberFormat="1" applyFill="1" applyBorder="1">
      <alignment/>
      <protection/>
    </xf>
    <xf numFmtId="199" fontId="0" fillId="24" borderId="0" xfId="57" applyNumberFormat="1" applyFill="1" applyBorder="1">
      <alignment/>
      <protection/>
    </xf>
    <xf numFmtId="0" fontId="21" fillId="24" borderId="0" xfId="57" applyFont="1" applyFill="1" applyBorder="1">
      <alignment/>
      <protection/>
    </xf>
    <xf numFmtId="0" fontId="20" fillId="24" borderId="0" xfId="57" applyFont="1" applyFill="1" applyBorder="1">
      <alignment/>
      <protection/>
    </xf>
    <xf numFmtId="186" fontId="21" fillId="24" borderId="0" xfId="57" applyNumberFormat="1" applyFont="1" applyFill="1" applyBorder="1">
      <alignment/>
      <protection/>
    </xf>
    <xf numFmtId="0" fontId="20" fillId="24" borderId="10" xfId="57" applyFont="1" applyFill="1" applyBorder="1" applyAlignment="1">
      <alignment horizontal="center"/>
      <protection/>
    </xf>
    <xf numFmtId="0" fontId="21" fillId="24" borderId="10" xfId="57" applyFont="1" applyFill="1" applyBorder="1" applyAlignment="1">
      <alignment horizontal="center"/>
      <protection/>
    </xf>
    <xf numFmtId="200" fontId="20" fillId="24" borderId="10" xfId="57" applyNumberFormat="1" applyFont="1" applyFill="1" applyBorder="1">
      <alignment/>
      <protection/>
    </xf>
    <xf numFmtId="186" fontId="20" fillId="24" borderId="10" xfId="57" applyNumberFormat="1" applyFont="1" applyFill="1" applyBorder="1">
      <alignment/>
      <protection/>
    </xf>
    <xf numFmtId="200" fontId="22" fillId="24" borderId="10" xfId="57" applyNumberFormat="1" applyFont="1" applyFill="1" applyBorder="1">
      <alignment/>
      <protection/>
    </xf>
    <xf numFmtId="200" fontId="23" fillId="24" borderId="10" xfId="57" applyNumberFormat="1" applyFont="1" applyFill="1" applyBorder="1">
      <alignment/>
      <protection/>
    </xf>
    <xf numFmtId="200" fontId="21" fillId="24" borderId="0" xfId="57" applyNumberFormat="1" applyFont="1" applyFill="1">
      <alignment/>
      <protection/>
    </xf>
    <xf numFmtId="0" fontId="22" fillId="24" borderId="10" xfId="57" applyFont="1" applyFill="1" applyBorder="1">
      <alignment/>
      <protection/>
    </xf>
    <xf numFmtId="186" fontId="23" fillId="24" borderId="10" xfId="57" applyNumberFormat="1" applyFont="1" applyFill="1" applyBorder="1">
      <alignment/>
      <protection/>
    </xf>
    <xf numFmtId="200" fontId="21" fillId="24" borderId="10" xfId="57" applyNumberFormat="1" applyFont="1" applyFill="1" applyBorder="1">
      <alignment/>
      <protection/>
    </xf>
    <xf numFmtId="0" fontId="20" fillId="24" borderId="0" xfId="57" applyFont="1" applyFill="1">
      <alignment/>
      <protection/>
    </xf>
    <xf numFmtId="186" fontId="25" fillId="24" borderId="10" xfId="73" applyNumberFormat="1" applyFont="1" applyFill="1" applyBorder="1" applyAlignment="1">
      <alignment vertical="top" wrapText="1"/>
      <protection/>
    </xf>
    <xf numFmtId="0" fontId="25" fillId="24" borderId="10" xfId="73" applyFont="1" applyFill="1" applyBorder="1" applyAlignment="1">
      <alignment horizontal="center" vertical="top" wrapText="1"/>
      <protection/>
    </xf>
    <xf numFmtId="0" fontId="25" fillId="24" borderId="10" xfId="73" applyFont="1" applyFill="1" applyBorder="1" applyAlignment="1">
      <alignment vertical="top"/>
      <protection/>
    </xf>
    <xf numFmtId="0" fontId="25" fillId="24" borderId="0" xfId="73" applyFont="1" applyFill="1" applyBorder="1" applyAlignment="1">
      <alignment vertical="top"/>
      <protection/>
    </xf>
    <xf numFmtId="186" fontId="25" fillId="24" borderId="10" xfId="73" applyNumberFormat="1" applyFont="1" applyFill="1" applyBorder="1" applyAlignment="1">
      <alignment horizontal="center" vertical="top" wrapText="1"/>
      <protection/>
    </xf>
    <xf numFmtId="186" fontId="26" fillId="24" borderId="10" xfId="73" applyNumberFormat="1" applyFont="1" applyFill="1" applyBorder="1" applyAlignment="1">
      <alignment horizontal="center" vertical="top" wrapText="1"/>
      <protection/>
    </xf>
    <xf numFmtId="0" fontId="26" fillId="24" borderId="10" xfId="73" applyFont="1" applyFill="1" applyBorder="1" applyAlignment="1">
      <alignment horizontal="center" vertical="top" wrapText="1"/>
      <protection/>
    </xf>
    <xf numFmtId="0" fontId="25" fillId="24" borderId="11" xfId="73" applyFont="1" applyFill="1" applyBorder="1" applyAlignment="1">
      <alignment vertical="top"/>
      <protection/>
    </xf>
    <xf numFmtId="0" fontId="26" fillId="24" borderId="0" xfId="73" applyFont="1" applyFill="1" applyBorder="1" applyAlignment="1">
      <alignment vertical="top"/>
      <protection/>
    </xf>
    <xf numFmtId="186" fontId="25" fillId="24" borderId="10" xfId="73" applyNumberFormat="1" applyFont="1" applyFill="1" applyBorder="1">
      <alignment/>
      <protection/>
    </xf>
    <xf numFmtId="200" fontId="26" fillId="24" borderId="10" xfId="73" applyNumberFormat="1" applyFont="1" applyFill="1" applyBorder="1">
      <alignment/>
      <protection/>
    </xf>
    <xf numFmtId="186" fontId="26" fillId="24" borderId="10" xfId="73" applyNumberFormat="1" applyFont="1" applyFill="1" applyBorder="1" applyAlignment="1">
      <alignment vertical="top" wrapText="1"/>
      <protection/>
    </xf>
    <xf numFmtId="186" fontId="26" fillId="24" borderId="10" xfId="73" applyNumberFormat="1" applyFont="1" applyFill="1" applyBorder="1">
      <alignment/>
      <protection/>
    </xf>
    <xf numFmtId="2" fontId="27" fillId="24" borderId="10" xfId="71" applyNumberFormat="1" applyFont="1" applyFill="1" applyBorder="1">
      <alignment/>
      <protection/>
    </xf>
    <xf numFmtId="186" fontId="25" fillId="24" borderId="11" xfId="73" applyNumberFormat="1" applyFont="1" applyFill="1" applyBorder="1">
      <alignment/>
      <protection/>
    </xf>
    <xf numFmtId="0" fontId="26" fillId="24" borderId="0" xfId="73" applyFont="1" applyFill="1" applyBorder="1">
      <alignment/>
      <protection/>
    </xf>
    <xf numFmtId="186" fontId="21" fillId="24" borderId="13" xfId="73" applyNumberFormat="1" applyFont="1" applyFill="1" applyBorder="1">
      <alignment/>
      <protection/>
    </xf>
    <xf numFmtId="1" fontId="21" fillId="24" borderId="13" xfId="73" applyNumberFormat="1" applyFont="1" applyFill="1" applyBorder="1">
      <alignment/>
      <protection/>
    </xf>
    <xf numFmtId="186" fontId="26" fillId="24" borderId="0" xfId="73" applyNumberFormat="1" applyFont="1" applyFill="1" applyBorder="1" applyAlignment="1">
      <alignment vertical="top" wrapText="1"/>
      <protection/>
    </xf>
    <xf numFmtId="1" fontId="26" fillId="24" borderId="10" xfId="73" applyNumberFormat="1" applyFont="1" applyFill="1" applyBorder="1" applyAlignment="1">
      <alignment vertical="top" wrapText="1"/>
      <protection/>
    </xf>
    <xf numFmtId="0" fontId="26" fillId="24" borderId="10" xfId="73" applyFont="1" applyFill="1" applyBorder="1" applyAlignment="1">
      <alignment vertical="top" wrapText="1"/>
      <protection/>
    </xf>
    <xf numFmtId="186" fontId="26" fillId="24" borderId="10" xfId="73" applyNumberFormat="1" applyFont="1" applyFill="1" applyBorder="1" applyAlignment="1">
      <alignment horizontal="right" vertical="top" wrapText="1"/>
      <protection/>
    </xf>
    <xf numFmtId="186" fontId="27" fillId="24" borderId="10" xfId="73" applyNumberFormat="1" applyFont="1" applyFill="1" applyBorder="1">
      <alignment/>
      <protection/>
    </xf>
    <xf numFmtId="1" fontId="21" fillId="24" borderId="10" xfId="73" applyNumberFormat="1" applyFont="1" applyFill="1" applyBorder="1">
      <alignment/>
      <protection/>
    </xf>
    <xf numFmtId="186" fontId="28" fillId="24" borderId="10" xfId="73" applyNumberFormat="1" applyFont="1" applyFill="1" applyBorder="1">
      <alignment/>
      <protection/>
    </xf>
    <xf numFmtId="186" fontId="27" fillId="24" borderId="10" xfId="73" applyNumberFormat="1" applyFont="1" applyFill="1" applyBorder="1" applyAlignment="1">
      <alignment vertical="top" wrapText="1"/>
      <protection/>
    </xf>
    <xf numFmtId="0" fontId="27" fillId="24" borderId="0" xfId="73" applyFont="1" applyFill="1" applyBorder="1">
      <alignment/>
      <protection/>
    </xf>
    <xf numFmtId="1" fontId="29" fillId="24" borderId="10" xfId="73" applyNumberFormat="1" applyFont="1" applyFill="1" applyBorder="1">
      <alignment/>
      <protection/>
    </xf>
    <xf numFmtId="186" fontId="26" fillId="24" borderId="10" xfId="73" applyNumberFormat="1" applyFont="1" applyFill="1" applyBorder="1" applyAlignment="1">
      <alignment horizontal="right"/>
      <protection/>
    </xf>
    <xf numFmtId="1" fontId="25" fillId="24" borderId="10" xfId="73" applyNumberFormat="1" applyFont="1" applyFill="1" applyBorder="1">
      <alignment/>
      <protection/>
    </xf>
    <xf numFmtId="186" fontId="25" fillId="24" borderId="0" xfId="73" applyNumberFormat="1" applyFont="1" applyFill="1" applyBorder="1">
      <alignment/>
      <protection/>
    </xf>
    <xf numFmtId="0" fontId="26" fillId="24" borderId="0" xfId="73" applyFont="1" applyFill="1" applyBorder="1" applyAlignment="1">
      <alignment/>
      <protection/>
    </xf>
    <xf numFmtId="0" fontId="26" fillId="24" borderId="0" xfId="73" applyFont="1" applyFill="1" applyBorder="1" applyAlignment="1">
      <alignment horizontal="center"/>
      <protection/>
    </xf>
    <xf numFmtId="0" fontId="26" fillId="24" borderId="0" xfId="73" applyNumberFormat="1" applyFont="1" applyFill="1" applyBorder="1" applyAlignment="1">
      <alignment vertical="top" wrapText="1"/>
      <protection/>
    </xf>
    <xf numFmtId="0" fontId="26" fillId="24" borderId="0" xfId="73" applyFont="1" applyFill="1" applyBorder="1" applyAlignment="1">
      <alignment vertical="top" wrapText="1"/>
      <protection/>
    </xf>
    <xf numFmtId="0" fontId="25" fillId="24" borderId="0" xfId="73" applyFont="1" applyFill="1" applyBorder="1" applyAlignment="1">
      <alignment/>
      <protection/>
    </xf>
    <xf numFmtId="186" fontId="25" fillId="24" borderId="0" xfId="73" applyNumberFormat="1" applyFont="1" applyFill="1" applyBorder="1" applyAlignment="1">
      <alignment horizontal="left" vertical="center"/>
      <protection/>
    </xf>
    <xf numFmtId="0" fontId="25" fillId="24" borderId="0" xfId="73" applyFont="1" applyFill="1" applyBorder="1">
      <alignment/>
      <protection/>
    </xf>
    <xf numFmtId="186" fontId="26" fillId="24" borderId="0" xfId="73" applyNumberFormat="1" applyFont="1" applyFill="1" applyBorder="1" applyAlignment="1">
      <alignment horizontal="left" vertical="center"/>
      <protection/>
    </xf>
    <xf numFmtId="186" fontId="26" fillId="24" borderId="0" xfId="73" applyNumberFormat="1" applyFont="1" applyFill="1" applyBorder="1" applyAlignment="1">
      <alignment/>
      <protection/>
    </xf>
    <xf numFmtId="186" fontId="25" fillId="24" borderId="0" xfId="73" applyNumberFormat="1" applyFont="1" applyFill="1" applyBorder="1" applyAlignment="1">
      <alignment/>
      <protection/>
    </xf>
    <xf numFmtId="196" fontId="36" fillId="24" borderId="10" xfId="57" applyNumberFormat="1" applyFont="1" applyFill="1" applyBorder="1">
      <alignment/>
      <protection/>
    </xf>
    <xf numFmtId="9" fontId="20" fillId="24" borderId="10" xfId="77" applyFont="1" applyFill="1" applyBorder="1" applyAlignment="1">
      <alignment/>
    </xf>
    <xf numFmtId="186" fontId="21" fillId="24" borderId="10" xfId="77" applyNumberFormat="1" applyFont="1" applyFill="1" applyBorder="1" applyAlignment="1">
      <alignment/>
    </xf>
    <xf numFmtId="9" fontId="0" fillId="24" borderId="0" xfId="77" applyFont="1" applyFill="1" applyBorder="1" applyAlignment="1">
      <alignment/>
    </xf>
    <xf numFmtId="206" fontId="36" fillId="24" borderId="10" xfId="57" applyNumberFormat="1" applyFont="1" applyFill="1" applyBorder="1">
      <alignment/>
      <protection/>
    </xf>
    <xf numFmtId="186" fontId="20" fillId="24" borderId="10" xfId="57" applyNumberFormat="1" applyFont="1" applyFill="1" applyBorder="1" applyAlignment="1">
      <alignment horizontal="center"/>
      <protection/>
    </xf>
    <xf numFmtId="186" fontId="21" fillId="24" borderId="0" xfId="57" applyNumberFormat="1" applyFont="1" applyFill="1">
      <alignment/>
      <protection/>
    </xf>
    <xf numFmtId="186" fontId="21" fillId="24" borderId="10" xfId="57" applyNumberFormat="1" applyFont="1" applyFill="1" applyBorder="1" applyAlignment="1">
      <alignment horizontal="center"/>
      <protection/>
    </xf>
    <xf numFmtId="186" fontId="22" fillId="24" borderId="10" xfId="57" applyNumberFormat="1" applyFont="1" applyFill="1" applyBorder="1">
      <alignment/>
      <protection/>
    </xf>
    <xf numFmtId="186" fontId="35" fillId="24" borderId="10" xfId="57" applyNumberFormat="1" applyFont="1" applyFill="1" applyBorder="1">
      <alignment/>
      <protection/>
    </xf>
    <xf numFmtId="186" fontId="22" fillId="24" borderId="10" xfId="0" applyNumberFormat="1" applyFont="1" applyFill="1" applyBorder="1" applyAlignment="1">
      <alignment/>
    </xf>
    <xf numFmtId="186" fontId="20" fillId="24" borderId="0" xfId="57" applyNumberFormat="1" applyFont="1" applyFill="1">
      <alignment/>
      <protection/>
    </xf>
    <xf numFmtId="186" fontId="25" fillId="24" borderId="10" xfId="71" applyNumberFormat="1" applyFont="1" applyFill="1" applyBorder="1" applyAlignment="1">
      <alignment vertical="top" wrapText="1"/>
      <protection/>
    </xf>
    <xf numFmtId="0" fontId="25" fillId="24" borderId="10" xfId="71" applyFont="1" applyFill="1" applyBorder="1" applyAlignment="1">
      <alignment horizontal="center" vertical="top" wrapText="1"/>
      <protection/>
    </xf>
    <xf numFmtId="0" fontId="25" fillId="24" borderId="10" xfId="71" applyFont="1" applyFill="1" applyBorder="1" applyAlignment="1">
      <alignment vertical="top"/>
      <protection/>
    </xf>
    <xf numFmtId="0" fontId="25" fillId="24" borderId="0" xfId="71" applyFont="1" applyFill="1" applyBorder="1" applyAlignment="1">
      <alignment vertical="top"/>
      <protection/>
    </xf>
    <xf numFmtId="186" fontId="25" fillId="24" borderId="10" xfId="71" applyNumberFormat="1" applyFont="1" applyFill="1" applyBorder="1" applyAlignment="1">
      <alignment horizontal="center" vertical="top" wrapText="1"/>
      <protection/>
    </xf>
    <xf numFmtId="186" fontId="26" fillId="24" borderId="10" xfId="71" applyNumberFormat="1" applyFont="1" applyFill="1" applyBorder="1" applyAlignment="1">
      <alignment horizontal="center" vertical="top" wrapText="1"/>
      <protection/>
    </xf>
    <xf numFmtId="0" fontId="26" fillId="24" borderId="10" xfId="71" applyFont="1" applyFill="1" applyBorder="1" applyAlignment="1">
      <alignment horizontal="center" vertical="top" wrapText="1"/>
      <protection/>
    </xf>
    <xf numFmtId="0" fontId="25" fillId="24" borderId="11" xfId="71" applyFont="1" applyFill="1" applyBorder="1" applyAlignment="1">
      <alignment vertical="top"/>
      <protection/>
    </xf>
    <xf numFmtId="0" fontId="26" fillId="24" borderId="0" xfId="71" applyFont="1" applyFill="1" applyBorder="1" applyAlignment="1">
      <alignment vertical="top"/>
      <protection/>
    </xf>
    <xf numFmtId="200" fontId="25" fillId="24" borderId="10" xfId="71" applyNumberFormat="1" applyFont="1" applyFill="1" applyBorder="1">
      <alignment/>
      <protection/>
    </xf>
    <xf numFmtId="200" fontId="26" fillId="24" borderId="10" xfId="71" applyNumberFormat="1" applyFont="1" applyFill="1" applyBorder="1" applyAlignment="1">
      <alignment vertical="top" wrapText="1"/>
      <protection/>
    </xf>
    <xf numFmtId="200" fontId="21" fillId="24" borderId="10" xfId="71" applyNumberFormat="1" applyFont="1" applyFill="1" applyBorder="1">
      <alignment/>
      <protection/>
    </xf>
    <xf numFmtId="200" fontId="26" fillId="24" borderId="10" xfId="71" applyNumberFormat="1" applyFont="1" applyFill="1" applyBorder="1">
      <alignment/>
      <protection/>
    </xf>
    <xf numFmtId="200" fontId="25" fillId="24" borderId="11" xfId="71" applyNumberFormat="1" applyFont="1" applyFill="1" applyBorder="1">
      <alignment/>
      <protection/>
    </xf>
    <xf numFmtId="200" fontId="26" fillId="24" borderId="0" xfId="71" applyNumberFormat="1" applyFont="1" applyFill="1" applyBorder="1">
      <alignment/>
      <protection/>
    </xf>
    <xf numFmtId="186" fontId="25" fillId="24" borderId="10" xfId="71" applyNumberFormat="1" applyFont="1" applyFill="1" applyBorder="1">
      <alignment/>
      <protection/>
    </xf>
    <xf numFmtId="186" fontId="21" fillId="24" borderId="13" xfId="71" applyNumberFormat="1" applyFont="1" applyFill="1" applyBorder="1">
      <alignment/>
      <protection/>
    </xf>
    <xf numFmtId="1" fontId="21" fillId="24" borderId="13" xfId="71" applyNumberFormat="1" applyFont="1" applyFill="1" applyBorder="1">
      <alignment/>
      <protection/>
    </xf>
    <xf numFmtId="0" fontId="26" fillId="24" borderId="0" xfId="71" applyFont="1" applyFill="1" applyBorder="1">
      <alignment/>
      <protection/>
    </xf>
    <xf numFmtId="186" fontId="26" fillId="24" borderId="0" xfId="71" applyNumberFormat="1" applyFont="1" applyFill="1" applyBorder="1" applyAlignment="1">
      <alignment vertical="top" wrapText="1"/>
      <protection/>
    </xf>
    <xf numFmtId="1" fontId="26" fillId="24" borderId="10" xfId="71" applyNumberFormat="1" applyFont="1" applyFill="1" applyBorder="1" applyAlignment="1">
      <alignment vertical="top" wrapText="1"/>
      <protection/>
    </xf>
    <xf numFmtId="186" fontId="26" fillId="24" borderId="0" xfId="71" applyNumberFormat="1" applyFont="1" applyFill="1" applyBorder="1">
      <alignment/>
      <protection/>
    </xf>
    <xf numFmtId="186" fontId="26" fillId="24" borderId="10" xfId="71" applyNumberFormat="1" applyFont="1" applyFill="1" applyBorder="1" applyAlignment="1">
      <alignment horizontal="right" vertical="top" wrapText="1"/>
      <protection/>
    </xf>
    <xf numFmtId="200" fontId="28" fillId="24" borderId="10" xfId="71" applyNumberFormat="1" applyFont="1" applyFill="1" applyBorder="1">
      <alignment/>
      <protection/>
    </xf>
    <xf numFmtId="200" fontId="27" fillId="24" borderId="10" xfId="71" applyNumberFormat="1" applyFont="1" applyFill="1" applyBorder="1">
      <alignment/>
      <protection/>
    </xf>
    <xf numFmtId="200" fontId="27" fillId="24" borderId="10" xfId="71" applyNumberFormat="1" applyFont="1" applyFill="1" applyBorder="1" applyAlignment="1">
      <alignment vertical="top" wrapText="1"/>
      <protection/>
    </xf>
    <xf numFmtId="200" fontId="27" fillId="24" borderId="0" xfId="71" applyNumberFormat="1" applyFont="1" applyFill="1" applyBorder="1">
      <alignment/>
      <protection/>
    </xf>
    <xf numFmtId="1" fontId="29" fillId="24" borderId="10" xfId="71" applyNumberFormat="1" applyFont="1" applyFill="1" applyBorder="1">
      <alignment/>
      <protection/>
    </xf>
    <xf numFmtId="186" fontId="26" fillId="24" borderId="10" xfId="71" applyNumberFormat="1" applyFont="1" applyFill="1" applyBorder="1" applyAlignment="1">
      <alignment horizontal="right"/>
      <protection/>
    </xf>
    <xf numFmtId="0" fontId="26" fillId="24" borderId="0" xfId="71" applyFont="1" applyFill="1" applyBorder="1" applyAlignment="1">
      <alignment vertical="top" wrapText="1"/>
      <protection/>
    </xf>
    <xf numFmtId="1" fontId="25" fillId="24" borderId="10" xfId="71" applyNumberFormat="1" applyFont="1" applyFill="1" applyBorder="1">
      <alignment/>
      <protection/>
    </xf>
    <xf numFmtId="186" fontId="31" fillId="24" borderId="10" xfId="74" applyNumberFormat="1" applyFont="1" applyFill="1" applyBorder="1" applyAlignment="1">
      <alignment horizontal="right" vertical="center" indent="1"/>
      <protection/>
    </xf>
    <xf numFmtId="186" fontId="25" fillId="24" borderId="0" xfId="71" applyNumberFormat="1" applyFont="1" applyFill="1" applyBorder="1">
      <alignment/>
      <protection/>
    </xf>
    <xf numFmtId="186" fontId="26" fillId="24" borderId="0" xfId="71" applyNumberFormat="1" applyFont="1" applyFill="1" applyBorder="1" applyAlignment="1">
      <alignment/>
      <protection/>
    </xf>
    <xf numFmtId="0" fontId="26" fillId="24" borderId="0" xfId="71" applyFont="1" applyFill="1" applyBorder="1" applyAlignment="1">
      <alignment/>
      <protection/>
    </xf>
    <xf numFmtId="0" fontId="26" fillId="24" borderId="0" xfId="71" applyFont="1" applyFill="1" applyBorder="1" applyAlignment="1">
      <alignment horizontal="center"/>
      <protection/>
    </xf>
    <xf numFmtId="0" fontId="26" fillId="24" borderId="0" xfId="71" applyNumberFormat="1" applyFont="1" applyFill="1" applyBorder="1" applyAlignment="1">
      <alignment vertical="top" wrapText="1"/>
      <protection/>
    </xf>
    <xf numFmtId="0" fontId="25" fillId="24" borderId="0" xfId="71" applyFont="1" applyFill="1" applyBorder="1" applyAlignment="1">
      <alignment/>
      <protection/>
    </xf>
    <xf numFmtId="0" fontId="25" fillId="24" borderId="0" xfId="71" applyFont="1" applyFill="1" applyBorder="1">
      <alignment/>
      <protection/>
    </xf>
    <xf numFmtId="186" fontId="25" fillId="24" borderId="0" xfId="71" applyNumberFormat="1" applyFont="1" applyFill="1" applyBorder="1" applyAlignment="1">
      <alignment horizontal="left" vertical="center"/>
      <protection/>
    </xf>
    <xf numFmtId="186" fontId="26" fillId="24" borderId="0" xfId="71" applyNumberFormat="1" applyFont="1" applyFill="1" applyBorder="1" applyAlignment="1">
      <alignment horizontal="left" vertical="center"/>
      <protection/>
    </xf>
    <xf numFmtId="186" fontId="25" fillId="24" borderId="0" xfId="71" applyNumberFormat="1" applyFont="1" applyFill="1" applyBorder="1" applyAlignment="1">
      <alignment/>
      <protection/>
    </xf>
    <xf numFmtId="16" fontId="31" fillId="24" borderId="0" xfId="74" applyNumberFormat="1" applyFont="1" applyFill="1" applyBorder="1" applyAlignment="1">
      <alignment horizontal="center"/>
      <protection/>
    </xf>
    <xf numFmtId="0" fontId="30" fillId="24" borderId="0" xfId="74" applyFont="1" applyFill="1" applyBorder="1" applyAlignment="1">
      <alignment horizontal="center" vertical="top"/>
      <protection/>
    </xf>
    <xf numFmtId="0" fontId="31" fillId="24" borderId="0" xfId="74" applyFont="1" applyFill="1" applyBorder="1" applyAlignment="1">
      <alignment horizontal="center" vertical="center" wrapText="1"/>
      <protection/>
    </xf>
    <xf numFmtId="1" fontId="32" fillId="24" borderId="0" xfId="74" applyNumberFormat="1" applyFont="1" applyFill="1" applyBorder="1" applyAlignment="1">
      <alignment horizontal="center" vertical="center"/>
      <protection/>
    </xf>
    <xf numFmtId="0" fontId="32" fillId="24" borderId="0" xfId="74" applyFont="1" applyFill="1" applyBorder="1" applyAlignment="1">
      <alignment horizontal="center" vertical="center"/>
      <protection/>
    </xf>
    <xf numFmtId="0" fontId="31" fillId="24" borderId="0" xfId="74" applyFont="1" applyFill="1" applyBorder="1" applyAlignment="1">
      <alignment horizontal="center"/>
      <protection/>
    </xf>
    <xf numFmtId="186" fontId="25" fillId="24" borderId="0" xfId="71" applyNumberFormat="1" applyFont="1" applyFill="1" applyBorder="1" applyAlignment="1">
      <alignment horizontal="left" vertical="center"/>
      <protection/>
    </xf>
    <xf numFmtId="186" fontId="25" fillId="24" borderId="10" xfId="71" applyNumberFormat="1" applyFont="1" applyFill="1" applyBorder="1" applyAlignment="1">
      <alignment horizontal="center" vertical="top" wrapText="1"/>
      <protection/>
    </xf>
    <xf numFmtId="186" fontId="25" fillId="24" borderId="10" xfId="71" applyNumberFormat="1" applyFont="1" applyFill="1" applyBorder="1" applyAlignment="1">
      <alignment horizontal="center" vertical="top"/>
      <protection/>
    </xf>
    <xf numFmtId="0" fontId="25" fillId="24" borderId="11" xfId="71" applyFont="1" applyFill="1" applyBorder="1" applyAlignment="1">
      <alignment horizontal="center" vertical="top"/>
      <protection/>
    </xf>
    <xf numFmtId="0" fontId="25" fillId="24" borderId="10" xfId="71" applyFont="1" applyFill="1" applyBorder="1" applyAlignment="1">
      <alignment horizontal="center" vertical="top"/>
      <protection/>
    </xf>
    <xf numFmtId="186" fontId="25" fillId="24" borderId="12" xfId="71" applyNumberFormat="1" applyFont="1" applyFill="1" applyBorder="1" applyAlignment="1">
      <alignment horizontal="center" vertical="top" wrapText="1"/>
      <protection/>
    </xf>
    <xf numFmtId="0" fontId="25" fillId="24" borderId="11" xfId="71" applyFont="1" applyFill="1" applyBorder="1" applyAlignment="1">
      <alignment horizontal="center" vertical="top" wrapText="1"/>
      <protection/>
    </xf>
    <xf numFmtId="186" fontId="20" fillId="24" borderId="10" xfId="57" applyNumberFormat="1" applyFont="1" applyFill="1" applyBorder="1" applyAlignment="1">
      <alignment horizontal="center"/>
      <protection/>
    </xf>
    <xf numFmtId="196" fontId="20" fillId="24" borderId="10" xfId="57" applyNumberFormat="1" applyFont="1" applyFill="1" applyBorder="1" applyAlignment="1">
      <alignment horizontal="center"/>
      <protection/>
    </xf>
    <xf numFmtId="186" fontId="24" fillId="24" borderId="10" xfId="57" applyNumberFormat="1" applyFont="1" applyFill="1" applyBorder="1" applyAlignment="1">
      <alignment horizontal="center"/>
      <protection/>
    </xf>
    <xf numFmtId="186" fontId="25" fillId="24" borderId="10" xfId="73" applyNumberFormat="1" applyFont="1" applyFill="1" applyBorder="1" applyAlignment="1">
      <alignment horizontal="center" vertical="top" wrapText="1"/>
      <protection/>
    </xf>
    <xf numFmtId="186" fontId="25" fillId="24" borderId="10" xfId="73" applyNumberFormat="1" applyFont="1" applyFill="1" applyBorder="1" applyAlignment="1">
      <alignment horizontal="center" vertical="top"/>
      <protection/>
    </xf>
    <xf numFmtId="186" fontId="25" fillId="24" borderId="12" xfId="73" applyNumberFormat="1" applyFont="1" applyFill="1" applyBorder="1" applyAlignment="1">
      <alignment horizontal="center" vertical="top" wrapText="1"/>
      <protection/>
    </xf>
    <xf numFmtId="0" fontId="25" fillId="24" borderId="11" xfId="73" applyFont="1" applyFill="1" applyBorder="1" applyAlignment="1">
      <alignment horizontal="center" vertical="top" wrapText="1"/>
      <protection/>
    </xf>
    <xf numFmtId="0" fontId="25" fillId="24" borderId="11" xfId="73" applyFont="1" applyFill="1" applyBorder="1" applyAlignment="1">
      <alignment horizontal="center" vertical="top"/>
      <protection/>
    </xf>
    <xf numFmtId="0" fontId="25" fillId="24" borderId="10" xfId="73" applyFont="1" applyFill="1" applyBorder="1" applyAlignment="1">
      <alignment horizontal="center" vertical="top"/>
      <protection/>
    </xf>
    <xf numFmtId="0" fontId="20" fillId="24" borderId="10" xfId="57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 vertical="top"/>
      <protection/>
    </xf>
    <xf numFmtId="0" fontId="25" fillId="24" borderId="10" xfId="72" applyFont="1" applyFill="1" applyBorder="1" applyAlignment="1">
      <alignment horizontal="center" vertical="top"/>
      <protection/>
    </xf>
    <xf numFmtId="186" fontId="25" fillId="24" borderId="10" xfId="72" applyNumberFormat="1" applyFont="1" applyFill="1" applyBorder="1" applyAlignment="1">
      <alignment horizontal="center" vertical="top" wrapText="1"/>
      <protection/>
    </xf>
    <xf numFmtId="186" fontId="25" fillId="24" borderId="10" xfId="72" applyNumberFormat="1" applyFont="1" applyFill="1" applyBorder="1" applyAlignment="1">
      <alignment horizontal="center" vertical="top"/>
      <protection/>
    </xf>
    <xf numFmtId="186" fontId="25" fillId="24" borderId="0" xfId="72" applyNumberFormat="1" applyFont="1" applyFill="1" applyBorder="1" applyAlignment="1">
      <alignment horizontal="left" vertical="center"/>
      <protection/>
    </xf>
    <xf numFmtId="186" fontId="25" fillId="24" borderId="12" xfId="72" applyNumberFormat="1" applyFont="1" applyFill="1" applyBorder="1" applyAlignment="1">
      <alignment horizontal="center" vertical="top" wrapText="1"/>
      <protection/>
    </xf>
    <xf numFmtId="186" fontId="25" fillId="24" borderId="11" xfId="72" applyNumberFormat="1" applyFont="1" applyFill="1" applyBorder="1" applyAlignment="1">
      <alignment horizontal="center" vertical="top" wrapText="1"/>
      <protection/>
    </xf>
    <xf numFmtId="0" fontId="20" fillId="24" borderId="10" xfId="0" applyFont="1" applyFill="1" applyBorder="1" applyAlignment="1">
      <alignment horizontal="center"/>
    </xf>
    <xf numFmtId="196" fontId="20" fillId="24" borderId="10" xfId="0" applyNumberFormat="1" applyFont="1" applyFill="1" applyBorder="1" applyAlignment="1">
      <alignment horizontal="center"/>
    </xf>
    <xf numFmtId="186" fontId="24" fillId="24" borderId="10" xfId="0" applyNumberFormat="1" applyFont="1" applyFill="1" applyBorder="1" applyAlignment="1">
      <alignment horizontal="center"/>
    </xf>
    <xf numFmtId="0" fontId="25" fillId="24" borderId="0" xfId="71" applyFont="1" applyFill="1" applyBorder="1" applyAlignment="1">
      <alignment horizontal="center"/>
      <protection/>
    </xf>
    <xf numFmtId="0" fontId="26" fillId="24" borderId="0" xfId="71" applyFont="1" applyFill="1" applyBorder="1" applyAlignment="1">
      <alignment horizontal="center" vertical="top" wrapText="1"/>
      <protection/>
    </xf>
    <xf numFmtId="0" fontId="26" fillId="24" borderId="14" xfId="71" applyFont="1" applyFill="1" applyBorder="1" applyAlignment="1">
      <alignment horizontal="center" vertical="top" wrapText="1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24" borderId="0" xfId="57" applyFont="1" applyFill="1" applyBorder="1">
      <alignment/>
      <protection/>
    </xf>
    <xf numFmtId="200" fontId="26" fillId="24" borderId="11" xfId="71" applyNumberFormat="1" applyFont="1" applyFill="1" applyBorder="1" applyAlignment="1">
      <alignment vertical="top" wrapText="1"/>
      <protection/>
    </xf>
    <xf numFmtId="186" fontId="26" fillId="24" borderId="11" xfId="71" applyNumberFormat="1" applyFont="1" applyFill="1" applyBorder="1">
      <alignment/>
      <protection/>
    </xf>
    <xf numFmtId="200" fontId="26" fillId="24" borderId="11" xfId="71" applyNumberFormat="1" applyFont="1" applyFill="1" applyBorder="1">
      <alignment/>
      <protection/>
    </xf>
    <xf numFmtId="186" fontId="27" fillId="24" borderId="11" xfId="71" applyNumberFormat="1" applyFont="1" applyFill="1" applyBorder="1">
      <alignment/>
      <protection/>
    </xf>
    <xf numFmtId="200" fontId="27" fillId="24" borderId="11" xfId="71" applyNumberFormat="1" applyFont="1" applyFill="1" applyBorder="1">
      <alignment/>
      <protection/>
    </xf>
    <xf numFmtId="186" fontId="26" fillId="24" borderId="11" xfId="71" applyNumberFormat="1" applyFont="1" applyFill="1" applyBorder="1" applyAlignment="1">
      <alignment vertical="top" wrapText="1"/>
      <protection/>
    </xf>
    <xf numFmtId="186" fontId="27" fillId="24" borderId="11" xfId="71" applyNumberFormat="1" applyFont="1" applyFill="1" applyBorder="1" applyAlignment="1">
      <alignment vertical="top" wrapText="1"/>
      <protection/>
    </xf>
    <xf numFmtId="186" fontId="26" fillId="24" borderId="11" xfId="73" applyNumberFormat="1" applyFont="1" applyFill="1" applyBorder="1">
      <alignment/>
      <protection/>
    </xf>
    <xf numFmtId="200" fontId="27" fillId="24" borderId="11" xfId="71" applyNumberFormat="1" applyFont="1" applyFill="1" applyBorder="1" applyAlignment="1">
      <alignment vertical="top" wrapText="1"/>
      <protection/>
    </xf>
    <xf numFmtId="2" fontId="0" fillId="24" borderId="10" xfId="0" applyNumberFormat="1" applyFill="1" applyBorder="1" applyAlignment="1">
      <alignment/>
    </xf>
    <xf numFmtId="2" fontId="24" fillId="24" borderId="10" xfId="0" applyNumberFormat="1" applyFont="1" applyFill="1" applyBorder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2" xfId="62"/>
    <cellStyle name="Normal 2 2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rmal_08-09(1)" xfId="71"/>
    <cellStyle name="Normal_2006-07" xfId="72"/>
    <cellStyle name="Normal_2007-08" xfId="73"/>
    <cellStyle name="Normal_summary" xfId="74"/>
    <cellStyle name="Note" xfId="75"/>
    <cellStyle name="Output" xfId="76"/>
    <cellStyle name="Percent" xfId="77"/>
    <cellStyle name="Percent 2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view="pageBreakPreview" zoomScaleSheetLayoutView="100" workbookViewId="0" topLeftCell="A1">
      <selection activeCell="R7" sqref="R7"/>
    </sheetView>
  </sheetViews>
  <sheetFormatPr defaultColWidth="9.140625" defaultRowHeight="12.75"/>
  <cols>
    <col min="1" max="1" width="16.421875" style="11" customWidth="1"/>
    <col min="2" max="2" width="10.140625" style="11" customWidth="1"/>
    <col min="3" max="3" width="12.8515625" style="11" customWidth="1"/>
    <col min="4" max="4" width="10.140625" style="11" bestFit="1" customWidth="1"/>
    <col min="5" max="5" width="12.8515625" style="11" bestFit="1" customWidth="1"/>
    <col min="6" max="6" width="12.57421875" style="11" customWidth="1"/>
    <col min="7" max="7" width="12.8515625" style="11" bestFit="1" customWidth="1"/>
    <col min="8" max="8" width="6.7109375" style="11" hidden="1" customWidth="1"/>
    <col min="9" max="9" width="5.57421875" style="11" hidden="1" customWidth="1"/>
    <col min="10" max="10" width="4.57421875" style="11" hidden="1" customWidth="1"/>
    <col min="11" max="11" width="6.00390625" style="11" hidden="1" customWidth="1"/>
    <col min="12" max="12" width="4.00390625" style="11" hidden="1" customWidth="1"/>
    <col min="13" max="13" width="5.00390625" style="11" hidden="1" customWidth="1"/>
    <col min="14" max="14" width="5.421875" style="12" hidden="1" customWidth="1"/>
    <col min="15" max="15" width="5.00390625" style="12" hidden="1" customWidth="1"/>
    <col min="16" max="16" width="4.7109375" style="12" hidden="1" customWidth="1"/>
    <col min="17" max="17" width="5.140625" style="12" hidden="1" customWidth="1"/>
    <col min="18" max="18" width="9.8515625" style="11" bestFit="1" customWidth="1"/>
    <col min="19" max="19" width="9.140625" style="11" customWidth="1"/>
    <col min="20" max="20" width="9.8515625" style="11" bestFit="1" customWidth="1"/>
    <col min="21" max="21" width="9.140625" style="11" customWidth="1"/>
    <col min="22" max="22" width="9.8515625" style="11" bestFit="1" customWidth="1"/>
    <col min="23" max="23" width="9.140625" style="11" customWidth="1"/>
    <col min="24" max="24" width="9.8515625" style="11" bestFit="1" customWidth="1"/>
    <col min="25" max="16384" width="9.140625" style="11" customWidth="1"/>
  </cols>
  <sheetData>
    <row r="1" spans="1:7" ht="21" customHeight="1">
      <c r="A1" s="266" t="s">
        <v>93</v>
      </c>
      <c r="B1" s="266"/>
      <c r="C1" s="266"/>
      <c r="D1" s="266"/>
      <c r="E1" s="266"/>
      <c r="F1" s="266"/>
      <c r="G1" s="266"/>
    </row>
    <row r="2" spans="4:7" ht="14.25">
      <c r="D2" s="13"/>
      <c r="F2" s="270" t="s">
        <v>94</v>
      </c>
      <c r="G2" s="270"/>
    </row>
    <row r="3" spans="4:7" ht="14.25">
      <c r="D3" s="13"/>
      <c r="E3" s="13"/>
      <c r="F3" s="270" t="s">
        <v>95</v>
      </c>
      <c r="G3" s="270"/>
    </row>
    <row r="4" spans="1:17" s="15" customFormat="1" ht="18" customHeight="1">
      <c r="A4" s="269" t="s">
        <v>96</v>
      </c>
      <c r="B4" s="268" t="s">
        <v>97</v>
      </c>
      <c r="C4" s="268"/>
      <c r="D4" s="268" t="s">
        <v>138</v>
      </c>
      <c r="E4" s="268"/>
      <c r="F4" s="268" t="s">
        <v>145</v>
      </c>
      <c r="G4" s="268"/>
      <c r="H4" s="267" t="s">
        <v>98</v>
      </c>
      <c r="I4" s="267"/>
      <c r="J4" s="267"/>
      <c r="K4" s="267"/>
      <c r="L4" s="267"/>
      <c r="M4" s="267"/>
      <c r="N4" s="14"/>
      <c r="O4" s="14"/>
      <c r="P4" s="14"/>
      <c r="Q4" s="14"/>
    </row>
    <row r="5" spans="1:17" s="15" customFormat="1" ht="18" customHeight="1">
      <c r="A5" s="269"/>
      <c r="B5" s="16" t="s">
        <v>99</v>
      </c>
      <c r="C5" s="17" t="s">
        <v>100</v>
      </c>
      <c r="D5" s="16" t="s">
        <v>99</v>
      </c>
      <c r="E5" s="17" t="s">
        <v>100</v>
      </c>
      <c r="F5" s="16" t="s">
        <v>99</v>
      </c>
      <c r="G5" s="17" t="s">
        <v>100</v>
      </c>
      <c r="H5" s="267"/>
      <c r="I5" s="267"/>
      <c r="J5" s="267"/>
      <c r="K5" s="267"/>
      <c r="L5" s="267"/>
      <c r="M5" s="267"/>
      <c r="N5" s="14"/>
      <c r="O5" s="14"/>
      <c r="P5" s="14"/>
      <c r="Q5" s="14"/>
    </row>
    <row r="6" spans="1:17" s="15" customFormat="1" ht="18" customHeight="1">
      <c r="A6" s="18" t="s">
        <v>101</v>
      </c>
      <c r="B6" s="19"/>
      <c r="C6" s="19"/>
      <c r="D6" s="19"/>
      <c r="E6" s="19"/>
      <c r="F6" s="19"/>
      <c r="G6" s="19"/>
      <c r="H6" s="20" t="s">
        <v>62</v>
      </c>
      <c r="I6" s="20" t="s">
        <v>15</v>
      </c>
      <c r="J6" s="20" t="s">
        <v>62</v>
      </c>
      <c r="K6" s="20" t="s">
        <v>15</v>
      </c>
      <c r="L6" s="20" t="s">
        <v>62</v>
      </c>
      <c r="M6" s="20" t="s">
        <v>15</v>
      </c>
      <c r="N6" s="14"/>
      <c r="O6" s="14"/>
      <c r="P6" s="14"/>
      <c r="Q6" s="14"/>
    </row>
    <row r="7" spans="1:17" s="15" customFormat="1" ht="18" customHeight="1">
      <c r="A7" s="21" t="s">
        <v>102</v>
      </c>
      <c r="B7" s="19">
        <f>'FRUITS6-7'!$N41</f>
        <v>2153.8677</v>
      </c>
      <c r="C7" s="19">
        <f>'FRUITS6-7'!$O41</f>
        <v>13733.968999999996</v>
      </c>
      <c r="D7" s="19">
        <f>'FRUITS7-8'!$N41</f>
        <v>2201.3759999999997</v>
      </c>
      <c r="E7" s="19">
        <f>'FRUITS7-8'!$O41</f>
        <v>13996.779999999999</v>
      </c>
      <c r="F7" s="19">
        <f>'FRUITS8-9 '!N41</f>
        <v>2308.975</v>
      </c>
      <c r="G7" s="19">
        <f>'FRUITS8-9 '!O41</f>
        <v>12749.766000000001</v>
      </c>
      <c r="H7" s="22" t="e">
        <v>#REF!</v>
      </c>
      <c r="I7" s="22" t="e">
        <v>#REF!</v>
      </c>
      <c r="J7" s="22">
        <v>51</v>
      </c>
      <c r="K7" s="22">
        <v>58</v>
      </c>
      <c r="N7" s="14"/>
      <c r="O7" s="14"/>
      <c r="P7" s="14"/>
      <c r="Q7" s="14"/>
    </row>
    <row r="8" spans="1:17" s="15" customFormat="1" ht="18" customHeight="1">
      <c r="A8" s="21" t="s">
        <v>103</v>
      </c>
      <c r="B8" s="19">
        <f>'FRUITS6-7'!$B41</f>
        <v>251.64</v>
      </c>
      <c r="C8" s="19">
        <f>'FRUITS6-7'!$C41</f>
        <v>1623.7150000000001</v>
      </c>
      <c r="D8" s="19">
        <f>'FRUITS7-8'!$B41</f>
        <v>263.935</v>
      </c>
      <c r="E8" s="19">
        <f>'FRUITS7-8'!$C41</f>
        <v>2001.45</v>
      </c>
      <c r="F8" s="19">
        <f>'FRUITS8-9 '!B41</f>
        <v>274.43199999999996</v>
      </c>
      <c r="G8" s="19">
        <f>'FRUITS8-9 '!C41</f>
        <v>1985.1380000000001</v>
      </c>
      <c r="H8" s="22" t="e">
        <v>#REF!</v>
      </c>
      <c r="I8" s="22" t="e">
        <v>#REF!</v>
      </c>
      <c r="J8" s="22">
        <v>11.87100000000001</v>
      </c>
      <c r="K8" s="22">
        <v>378</v>
      </c>
      <c r="N8" s="14"/>
      <c r="O8" s="14"/>
      <c r="P8" s="14"/>
      <c r="Q8" s="14"/>
    </row>
    <row r="9" spans="1:17" s="15" customFormat="1" ht="18" customHeight="1">
      <c r="A9" s="21" t="s">
        <v>104</v>
      </c>
      <c r="B9" s="19">
        <f>'FRUITS6-7'!$D41</f>
        <v>604.0005700000002</v>
      </c>
      <c r="C9" s="19">
        <f>'FRUITS6-7'!$E41</f>
        <v>20997.978</v>
      </c>
      <c r="D9" s="19">
        <f>'FRUITS7-8'!$D41</f>
        <v>657.825</v>
      </c>
      <c r="E9" s="19">
        <f>'FRUITS7-8'!$E41</f>
        <v>23822.995000000003</v>
      </c>
      <c r="F9" s="19">
        <f>'FRUITS8-9 '!D41</f>
        <v>708.8359999999999</v>
      </c>
      <c r="G9" s="19">
        <f>'FRUITS8-9 '!E41</f>
        <v>26217.191000000003</v>
      </c>
      <c r="H9" s="22" t="e">
        <v>#REF!</v>
      </c>
      <c r="I9" s="22" t="e">
        <v>#REF!</v>
      </c>
      <c r="J9" s="22">
        <v>43</v>
      </c>
      <c r="K9" s="22">
        <v>2206</v>
      </c>
      <c r="N9" s="14"/>
      <c r="O9" s="14"/>
      <c r="P9" s="14"/>
      <c r="Q9" s="14"/>
    </row>
    <row r="10" spans="1:17" s="15" customFormat="1" ht="18" customHeight="1">
      <c r="A10" s="21" t="s">
        <v>105</v>
      </c>
      <c r="B10" s="19">
        <f>'FRUITS6-7'!$F41</f>
        <v>798.1009999999998</v>
      </c>
      <c r="C10" s="19">
        <f>'FRUITS6-7'!$G41</f>
        <v>7145.178999999996</v>
      </c>
      <c r="D10" s="19">
        <f>'FRUITS7-8'!$F41</f>
        <v>867.0639999999999</v>
      </c>
      <c r="E10" s="19">
        <f>'FRUITS7-8'!$G41</f>
        <v>8014.886</v>
      </c>
      <c r="F10" s="19">
        <f>'FRUITS8-9 '!F41</f>
        <v>923.176</v>
      </c>
      <c r="G10" s="19">
        <f>'FRUITS8-9 '!G41</f>
        <v>8607.740000000002</v>
      </c>
      <c r="H10" s="22" t="e">
        <v>#REF!</v>
      </c>
      <c r="I10" s="22" t="e">
        <v>#REF!</v>
      </c>
      <c r="J10" s="22">
        <v>44.63099999999997</v>
      </c>
      <c r="K10" s="22">
        <v>429</v>
      </c>
      <c r="N10" s="14"/>
      <c r="O10" s="14"/>
      <c r="P10" s="14"/>
      <c r="Q10" s="14"/>
    </row>
    <row r="11" spans="1:17" s="15" customFormat="1" ht="18" customHeight="1">
      <c r="A11" s="21" t="s">
        <v>106</v>
      </c>
      <c r="B11" s="19">
        <f>'FRUITS6-7'!$J41</f>
        <v>175.824</v>
      </c>
      <c r="C11" s="19">
        <f>'FRUITS6-7'!$K41</f>
        <v>1830.6390000000001</v>
      </c>
      <c r="D11" s="19">
        <f>'FRUITS7-8'!$J41</f>
        <v>179.23100000000002</v>
      </c>
      <c r="E11" s="19">
        <f>'FRUITS7-8'!$K41</f>
        <v>1981.1480000000001</v>
      </c>
      <c r="F11" s="19">
        <f>'FRUITS8-9 '!J41</f>
        <v>203.653</v>
      </c>
      <c r="G11" s="19">
        <f>'FRUITS8-9 '!K41</f>
        <v>2270.087</v>
      </c>
      <c r="H11" s="22" t="e">
        <v>#REF!</v>
      </c>
      <c r="I11" s="22" t="e">
        <v>#REF!</v>
      </c>
      <c r="J11" s="22">
        <v>2</v>
      </c>
      <c r="K11" s="22">
        <v>145</v>
      </c>
      <c r="N11" s="14"/>
      <c r="O11" s="14"/>
      <c r="P11" s="14"/>
      <c r="Q11" s="14"/>
    </row>
    <row r="12" spans="1:17" s="15" customFormat="1" ht="18" customHeight="1">
      <c r="A12" s="21" t="s">
        <v>107</v>
      </c>
      <c r="B12" s="19">
        <f>'FRUITS6-7'!$H41</f>
        <v>64.92</v>
      </c>
      <c r="C12" s="19">
        <f>'FRUITS6-7'!$I41</f>
        <v>1685.2999999999997</v>
      </c>
      <c r="D12" s="19">
        <f>'FRUITS7-8'!$H41</f>
        <v>68.346</v>
      </c>
      <c r="E12" s="19">
        <f>'FRUITS7-8'!$I41</f>
        <v>1734.6939999999997</v>
      </c>
      <c r="F12" s="19">
        <f>'FRUITS8-9 '!H41</f>
        <v>79.59400000000002</v>
      </c>
      <c r="G12" s="19">
        <f>'FRUITS8-9 '!I41</f>
        <v>1878.331</v>
      </c>
      <c r="H12" s="22" t="e">
        <v>#REF!</v>
      </c>
      <c r="I12" s="22" t="e">
        <v>#REF!</v>
      </c>
      <c r="J12" s="22">
        <v>-0.6460000000000008</v>
      </c>
      <c r="K12" s="22">
        <v>-8.630000000000337</v>
      </c>
      <c r="N12" s="14"/>
      <c r="O12" s="14"/>
      <c r="P12" s="14"/>
      <c r="Q12" s="14"/>
    </row>
    <row r="13" spans="1:17" s="15" customFormat="1" ht="18" customHeight="1">
      <c r="A13" s="21" t="s">
        <v>108</v>
      </c>
      <c r="B13" s="19">
        <f>'FRUITS6-7'!$L41</f>
        <v>65.145</v>
      </c>
      <c r="C13" s="19">
        <f>'FRUITS6-7'!$M41</f>
        <v>402.56</v>
      </c>
      <c r="D13" s="19">
        <f>'FRUITS7-8'!$L41</f>
        <v>69.13499999999999</v>
      </c>
      <c r="E13" s="19">
        <f>'FRUITS7-8'!$M41</f>
        <v>418.41300000000007</v>
      </c>
      <c r="F13" s="19">
        <f>'FRUITS8-9 '!L41</f>
        <v>71.903</v>
      </c>
      <c r="G13" s="19">
        <f>'FRUITS8-9 '!M41</f>
        <v>423.395</v>
      </c>
      <c r="H13" s="22" t="e">
        <v>#REF!</v>
      </c>
      <c r="I13" s="22" t="e">
        <v>#REF!</v>
      </c>
      <c r="J13" s="22">
        <v>4.311499999999995</v>
      </c>
      <c r="K13" s="22">
        <v>15.871999999999957</v>
      </c>
      <c r="N13" s="14"/>
      <c r="O13" s="14"/>
      <c r="P13" s="14"/>
      <c r="Q13" s="14"/>
    </row>
    <row r="14" spans="1:17" s="15" customFormat="1" ht="18" customHeight="1">
      <c r="A14" s="21" t="s">
        <v>109</v>
      </c>
      <c r="B14" s="19">
        <f>'FRUITS6-7'!$P41</f>
        <v>72.25</v>
      </c>
      <c r="C14" s="19">
        <f>'FRUITS6-7'!$Q41</f>
        <v>2482.156</v>
      </c>
      <c r="D14" s="19">
        <f>'FRUITS7-8'!$P41</f>
        <v>82.816</v>
      </c>
      <c r="E14" s="19">
        <f>'FRUITS7-8'!$Q41</f>
        <v>2908.6390000000006</v>
      </c>
      <c r="F14" s="19">
        <f>'FRUITS8-9 '!P41</f>
        <v>97.74499999999998</v>
      </c>
      <c r="G14" s="19">
        <f>'FRUITS8-9 '!Q41</f>
        <v>3628.867</v>
      </c>
      <c r="H14" s="22" t="e">
        <v>#REF!</v>
      </c>
      <c r="I14" s="22" t="e">
        <v>#REF!</v>
      </c>
      <c r="J14" s="22">
        <v>8</v>
      </c>
      <c r="K14" s="22">
        <v>204</v>
      </c>
      <c r="N14" s="14"/>
      <c r="O14" s="14"/>
      <c r="P14" s="14"/>
      <c r="Q14" s="14"/>
    </row>
    <row r="15" spans="1:17" s="15" customFormat="1" ht="18" customHeight="1">
      <c r="A15" s="21" t="s">
        <v>110</v>
      </c>
      <c r="B15" s="19">
        <f>'FRUITS6-7'!$R41</f>
        <v>86.50650000000002</v>
      </c>
      <c r="C15" s="19">
        <f>'FRUITS6-7'!$S41</f>
        <v>1362.2150000000001</v>
      </c>
      <c r="D15" s="19">
        <f>'FRUITS7-8'!$R41</f>
        <v>80.038</v>
      </c>
      <c r="E15" s="19">
        <f>'FRUITS7-8'!$S41</f>
        <v>1244.5579999999998</v>
      </c>
      <c r="F15" s="19">
        <f>'FRUITS8-9 '!R41</f>
        <v>83.741</v>
      </c>
      <c r="G15" s="19">
        <f>'FRUITS8-9 '!S41</f>
        <v>1340.7569999999998</v>
      </c>
      <c r="H15" s="22" t="e">
        <v>#REF!</v>
      </c>
      <c r="I15" s="22" t="e">
        <v>#REF!</v>
      </c>
      <c r="J15" s="22">
        <v>-5.983499999999992</v>
      </c>
      <c r="K15" s="22">
        <v>-146.59</v>
      </c>
      <c r="N15" s="14"/>
      <c r="O15" s="14"/>
      <c r="P15" s="14"/>
      <c r="Q15" s="14"/>
    </row>
    <row r="16" spans="1:17" s="15" customFormat="1" ht="18" customHeight="1">
      <c r="A16" s="21" t="s">
        <v>111</v>
      </c>
      <c r="B16" s="19">
        <f>'FRUITS6-7'!$T41</f>
        <v>116.88000000000001</v>
      </c>
      <c r="C16" s="19">
        <f>'FRUITS6-7'!$U41</f>
        <v>839.65</v>
      </c>
      <c r="D16" s="19">
        <f>'FRUITS7-8'!$T41</f>
        <v>123.58800000000001</v>
      </c>
      <c r="E16" s="19">
        <f>'FRUITS7-8'!$U41</f>
        <v>884.1290000000001</v>
      </c>
      <c r="F16" s="19">
        <f>'FRUITS8-9 '!T41</f>
        <v>109.21</v>
      </c>
      <c r="G16" s="19">
        <f>'FRUITS8-9 '!U41</f>
        <v>807.1730000000001</v>
      </c>
      <c r="H16" s="22" t="e">
        <v>#REF!</v>
      </c>
      <c r="I16" s="22" t="e">
        <v>#REF!</v>
      </c>
      <c r="J16" s="22">
        <v>5.200999999999993</v>
      </c>
      <c r="K16" s="22">
        <v>18.438000000000102</v>
      </c>
      <c r="N16" s="14"/>
      <c r="O16" s="14"/>
      <c r="P16" s="14"/>
      <c r="Q16" s="14"/>
    </row>
    <row r="17" spans="1:17" s="15" customFormat="1" ht="18" customHeight="1">
      <c r="A17" s="21" t="s">
        <v>112</v>
      </c>
      <c r="B17" s="19">
        <f>'FRUITS6-7'!$V41</f>
        <v>148.51299999999998</v>
      </c>
      <c r="C17" s="19">
        <f>'FRUITS6-7'!$W41</f>
        <v>1215.7905</v>
      </c>
      <c r="D17" s="19">
        <f>'FRUITS7-8'!$V41</f>
        <v>152.068</v>
      </c>
      <c r="E17" s="19">
        <f>'FRUITS7-8'!$W41</f>
        <v>1257.8369999999998</v>
      </c>
      <c r="F17" s="19">
        <f>'FRUITS8-9 '!V41</f>
        <v>156.14400000000003</v>
      </c>
      <c r="G17" s="19">
        <f>'FRUITS8-9 '!W41</f>
        <v>1307.838</v>
      </c>
      <c r="H17" s="22" t="e">
        <v>#REF!</v>
      </c>
      <c r="I17" s="22" t="e">
        <v>#REF!</v>
      </c>
      <c r="J17" s="22">
        <v>1.6820000000000448</v>
      </c>
      <c r="K17" s="22">
        <v>22.436500000000024</v>
      </c>
      <c r="N17" s="14"/>
      <c r="O17" s="14"/>
      <c r="P17" s="14"/>
      <c r="Q17" s="14"/>
    </row>
    <row r="18" spans="1:17" s="15" customFormat="1" ht="18" customHeight="1">
      <c r="A18" s="21" t="s">
        <v>113</v>
      </c>
      <c r="B18" s="19">
        <f>'FRUITS6-7'!$X41</f>
        <v>1016.0849999999999</v>
      </c>
      <c r="C18" s="19">
        <f>'FRUITS6-7'!$Y41</f>
        <v>6244.181</v>
      </c>
      <c r="D18" s="19">
        <f>'FRUITS7-8'!$X41</f>
        <v>1111.8049999999998</v>
      </c>
      <c r="E18" s="19">
        <f>'FRUITS7-8'!$Y41</f>
        <v>7321.234</v>
      </c>
      <c r="F18" s="19">
        <f>'FRUITS8-9 '!X41</f>
        <v>1083.489</v>
      </c>
      <c r="G18" s="19">
        <f>'FRUITS8-9 '!Y41</f>
        <v>7249.242499999999</v>
      </c>
      <c r="H18" s="22" t="e">
        <v>#REF!</v>
      </c>
      <c r="I18" s="22" t="e">
        <v>#REF!</v>
      </c>
      <c r="J18" s="22">
        <v>55</v>
      </c>
      <c r="K18" s="22">
        <v>618</v>
      </c>
      <c r="N18" s="14"/>
      <c r="O18" s="14"/>
      <c r="P18" s="14"/>
      <c r="Q18" s="14"/>
    </row>
    <row r="19" spans="1:26" s="27" customFormat="1" ht="18" customHeight="1">
      <c r="A19" s="23" t="s">
        <v>68</v>
      </c>
      <c r="B19" s="16">
        <f>'FRUITS6-7'!Z41</f>
        <v>5553.7327700000005</v>
      </c>
      <c r="C19" s="16">
        <f>'FRUITS6-7'!AA41</f>
        <v>59563.3325</v>
      </c>
      <c r="D19" s="16">
        <f>'FRUITS7-8'!Z41</f>
        <v>5857.226999999999</v>
      </c>
      <c r="E19" s="16">
        <f>'FRUITS7-8'!AA41</f>
        <v>65586.763</v>
      </c>
      <c r="F19" s="24">
        <f>'HORTICULTURE08-09'!B42</f>
        <v>6100.897999999999</v>
      </c>
      <c r="G19" s="24">
        <f>'HORTICULTURE08-09'!C42</f>
        <v>68465.52549999999</v>
      </c>
      <c r="H19" s="25" t="e">
        <v>#REF!</v>
      </c>
      <c r="I19" s="25" t="e">
        <v>#REF!</v>
      </c>
      <c r="J19" s="25">
        <v>222</v>
      </c>
      <c r="K19" s="25">
        <v>3939</v>
      </c>
      <c r="L19" s="25">
        <v>109</v>
      </c>
      <c r="M19" s="25">
        <v>2364</v>
      </c>
      <c r="N19" s="26"/>
      <c r="O19" s="26"/>
      <c r="P19" s="26"/>
      <c r="Q19" s="26"/>
      <c r="S19" s="25"/>
      <c r="T19" s="25"/>
      <c r="U19" s="25"/>
      <c r="V19" s="25"/>
      <c r="W19" s="25"/>
      <c r="X19" s="25"/>
      <c r="Y19" s="25" t="s">
        <v>49</v>
      </c>
      <c r="Z19" s="25" t="s">
        <v>49</v>
      </c>
    </row>
    <row r="20" spans="1:17" s="15" customFormat="1" ht="18" customHeight="1">
      <c r="A20" s="28" t="s">
        <v>114</v>
      </c>
      <c r="B20" s="19"/>
      <c r="C20" s="19"/>
      <c r="D20" s="19"/>
      <c r="E20" s="19"/>
      <c r="F20" s="19"/>
      <c r="G20" s="19"/>
      <c r="H20" s="22"/>
      <c r="I20" s="22"/>
      <c r="J20" s="22"/>
      <c r="K20" s="22"/>
      <c r="N20" s="14"/>
      <c r="O20" s="14"/>
      <c r="P20" s="14"/>
      <c r="Q20" s="14"/>
    </row>
    <row r="21" spans="1:17" s="15" customFormat="1" ht="18" customHeight="1">
      <c r="A21" s="21" t="s">
        <v>115</v>
      </c>
      <c r="B21" s="19">
        <f>'VEG6-7'!$P41</f>
        <v>1742.7930000000001</v>
      </c>
      <c r="C21" s="19">
        <f>'VEG6-7'!$Q41</f>
        <v>28599.528</v>
      </c>
      <c r="D21" s="19">
        <f>'VEG7-8'!$P41</f>
        <v>1794.993</v>
      </c>
      <c r="E21" s="19">
        <f>'VEG7-8'!$Q41</f>
        <v>34658.282999999996</v>
      </c>
      <c r="F21" s="19">
        <f>'VEG8-9 '!P41</f>
        <v>1828.3329999999999</v>
      </c>
      <c r="G21" s="19">
        <f>'VEG8-9 '!Q41</f>
        <v>34390.894</v>
      </c>
      <c r="H21" s="22" t="e">
        <v>#REF!</v>
      </c>
      <c r="I21" s="22" t="e">
        <v>#REF!</v>
      </c>
      <c r="J21" s="22">
        <v>42</v>
      </c>
      <c r="K21" s="22">
        <v>5853</v>
      </c>
      <c r="N21" s="14"/>
      <c r="O21" s="14"/>
      <c r="P21" s="14"/>
      <c r="Q21" s="14"/>
    </row>
    <row r="22" spans="1:17" s="15" customFormat="1" ht="18" customHeight="1">
      <c r="A22" s="21" t="s">
        <v>116</v>
      </c>
      <c r="B22" s="19">
        <f>'VEG6-7'!$N41</f>
        <v>767.9289999999999</v>
      </c>
      <c r="C22" s="19">
        <f>'VEG6-7'!$O41</f>
        <v>10847.355</v>
      </c>
      <c r="D22" s="19">
        <f>'VEG7-8'!$N41</f>
        <v>820.9949999999999</v>
      </c>
      <c r="E22" s="19">
        <f>'VEG7-8'!$O41</f>
        <v>13900.372</v>
      </c>
      <c r="F22" s="19">
        <f>'VEG8-9 '!N41</f>
        <v>834.2270000000001</v>
      </c>
      <c r="G22" s="19">
        <f>'VEG8-9 '!O41</f>
        <v>13564.525</v>
      </c>
      <c r="H22" s="22" t="e">
        <v>#REF!</v>
      </c>
      <c r="I22" s="22" t="e">
        <v>#REF!</v>
      </c>
      <c r="J22" s="22">
        <v>37</v>
      </c>
      <c r="K22" s="22">
        <v>1310</v>
      </c>
      <c r="N22" s="14"/>
      <c r="O22" s="14"/>
      <c r="P22" s="14"/>
      <c r="Q22" s="14"/>
    </row>
    <row r="23" spans="1:17" s="15" customFormat="1" ht="18" customHeight="1">
      <c r="A23" s="21" t="s">
        <v>117</v>
      </c>
      <c r="B23" s="19">
        <f>'VEG6-7'!$L41</f>
        <v>596.228</v>
      </c>
      <c r="C23" s="19">
        <f>'VEG6-7'!$M41</f>
        <v>10054.612</v>
      </c>
      <c r="D23" s="19">
        <f>'VEG7-8'!$L41</f>
        <v>566.301</v>
      </c>
      <c r="E23" s="19">
        <f>'VEG7-8'!$M41</f>
        <v>10302.740000000002</v>
      </c>
      <c r="F23" s="19">
        <f>'VEG8-9 '!L41</f>
        <v>599.105</v>
      </c>
      <c r="G23" s="19">
        <f>'VEG8-9 '!M41</f>
        <v>11148.831999999999</v>
      </c>
      <c r="H23" s="22" t="e">
        <v>#REF!</v>
      </c>
      <c r="I23" s="22" t="e">
        <v>#REF!</v>
      </c>
      <c r="J23" s="22">
        <v>-25</v>
      </c>
      <c r="K23" s="22">
        <v>202</v>
      </c>
      <c r="N23" s="14"/>
      <c r="O23" s="14"/>
      <c r="P23" s="14"/>
      <c r="Q23" s="14"/>
    </row>
    <row r="24" spans="1:17" s="15" customFormat="1" ht="18" customHeight="1">
      <c r="A24" s="21" t="s">
        <v>118</v>
      </c>
      <c r="B24" s="19">
        <f>'VEG6-7'!$B41</f>
        <v>568.233</v>
      </c>
      <c r="C24" s="19">
        <f>'VEG6-7'!$C41</f>
        <v>9453.119999999999</v>
      </c>
      <c r="D24" s="19">
        <f>'VEG7-8'!$B41</f>
        <v>561.359</v>
      </c>
      <c r="E24" s="19">
        <f>'VEG7-8'!$C41</f>
        <v>9677.675</v>
      </c>
      <c r="F24" s="19">
        <f>'VEG8-9 '!B41</f>
        <v>600.3489999999999</v>
      </c>
      <c r="G24" s="19">
        <f>'VEG8-9 '!C41</f>
        <v>10377.607</v>
      </c>
      <c r="H24" s="22" t="e">
        <v>#REF!</v>
      </c>
      <c r="I24" s="22" t="e">
        <v>#REF!</v>
      </c>
      <c r="J24" s="22">
        <v>-2</v>
      </c>
      <c r="K24" s="22">
        <v>141</v>
      </c>
      <c r="N24" s="14"/>
      <c r="O24" s="14"/>
      <c r="P24" s="14"/>
      <c r="Q24" s="14"/>
    </row>
    <row r="25" spans="1:17" s="15" customFormat="1" ht="18" customHeight="1">
      <c r="A25" s="21" t="s">
        <v>119</v>
      </c>
      <c r="B25" s="19">
        <f>'VEG6-7'!$D41</f>
        <v>249.022</v>
      </c>
      <c r="C25" s="19">
        <f>'VEG6-7'!$E41</f>
        <v>5583.6179999999995</v>
      </c>
      <c r="D25" s="19">
        <f>'VEG7-8'!$D41</f>
        <v>266.24899999999997</v>
      </c>
      <c r="E25" s="19">
        <f>'VEG7-8'!$E41</f>
        <v>5910.393999999999</v>
      </c>
      <c r="F25" s="19">
        <f>'VEG8-9 '!D41</f>
        <v>310.23800000000006</v>
      </c>
      <c r="G25" s="19">
        <f>'VEG8-9 '!E41</f>
        <v>6869.644</v>
      </c>
      <c r="H25" s="22" t="e">
        <v>#REF!</v>
      </c>
      <c r="I25" s="22" t="e">
        <v>#REF!</v>
      </c>
      <c r="J25" s="22">
        <v>15</v>
      </c>
      <c r="K25" s="22">
        <v>296</v>
      </c>
      <c r="N25" s="14"/>
      <c r="O25" s="14"/>
      <c r="P25" s="14"/>
      <c r="Q25" s="14"/>
    </row>
    <row r="26" spans="1:17" s="15" customFormat="1" ht="18" customHeight="1">
      <c r="A26" s="21" t="s">
        <v>120</v>
      </c>
      <c r="B26" s="19">
        <f>'VEG6-7'!$F41</f>
        <v>302.145</v>
      </c>
      <c r="C26" s="19">
        <f>'VEG6-7'!$G41</f>
        <v>5537.905</v>
      </c>
      <c r="D26" s="19">
        <f>'VEG7-8'!$F41</f>
        <v>312.366</v>
      </c>
      <c r="E26" s="19">
        <f>'VEG7-8'!$G41</f>
        <v>5777.1</v>
      </c>
      <c r="F26" s="19">
        <f>'VEG8-9 '!F41</f>
        <v>348.87600000000003</v>
      </c>
      <c r="G26" s="19">
        <f>'VEG8-9 '!G41</f>
        <v>6531.918</v>
      </c>
      <c r="H26" s="22" t="e">
        <v>#REF!</v>
      </c>
      <c r="I26" s="22" t="e">
        <v>#REF!</v>
      </c>
      <c r="J26" s="22">
        <v>10</v>
      </c>
      <c r="K26" s="22">
        <v>218</v>
      </c>
      <c r="N26" s="14"/>
      <c r="O26" s="14"/>
      <c r="P26" s="14"/>
      <c r="Q26" s="14"/>
    </row>
    <row r="27" spans="1:17" s="15" customFormat="1" ht="18" customHeight="1">
      <c r="A27" s="21" t="s">
        <v>121</v>
      </c>
      <c r="B27" s="19">
        <f>'VEG6-7'!$H41</f>
        <v>396.40099999999995</v>
      </c>
      <c r="C27" s="19">
        <f>'VEG6-7'!$I41</f>
        <v>4070.2990000000004</v>
      </c>
      <c r="D27" s="19">
        <f>'VEG7-8'!$H41</f>
        <v>406.87899999999996</v>
      </c>
      <c r="E27" s="19">
        <f>'VEG7-8'!$I41</f>
        <v>4179.146</v>
      </c>
      <c r="F27" s="19">
        <f>'VEG8-9 '!H41</f>
        <v>431.56800000000004</v>
      </c>
      <c r="G27" s="19">
        <f>'VEG8-9 '!I41</f>
        <v>4527.856999999999</v>
      </c>
      <c r="H27" s="22" t="e">
        <v>#REF!</v>
      </c>
      <c r="I27" s="22" t="e">
        <v>#REF!</v>
      </c>
      <c r="J27" s="22">
        <v>13</v>
      </c>
      <c r="K27" s="22">
        <v>123</v>
      </c>
      <c r="N27" s="14"/>
      <c r="O27" s="14"/>
      <c r="P27" s="14"/>
      <c r="Q27" s="14"/>
    </row>
    <row r="28" spans="1:17" s="15" customFormat="1" ht="18" customHeight="1">
      <c r="A28" s="21" t="s">
        <v>122</v>
      </c>
      <c r="B28" s="19">
        <f>'VEG6-7'!$J41</f>
        <v>297.494</v>
      </c>
      <c r="C28" s="19">
        <f>'VEG6-7'!$K41</f>
        <v>2401.853</v>
      </c>
      <c r="D28" s="19">
        <f>'VEG7-8'!$J41</f>
        <v>312.507</v>
      </c>
      <c r="E28" s="19">
        <f>'VEG7-8'!$K41</f>
        <v>2491.138</v>
      </c>
      <c r="F28" s="19">
        <f>'VEG8-9 '!J41</f>
        <v>348.135</v>
      </c>
      <c r="G28" s="19">
        <f>'VEG8-9 '!K41</f>
        <v>2916.4849999999997</v>
      </c>
      <c r="H28" s="22" t="e">
        <v>#REF!</v>
      </c>
      <c r="I28" s="22" t="e">
        <v>#REF!</v>
      </c>
      <c r="J28" s="22">
        <v>16</v>
      </c>
      <c r="K28" s="22">
        <v>157</v>
      </c>
      <c r="N28" s="14"/>
      <c r="O28" s="14"/>
      <c r="P28" s="14"/>
      <c r="Q28" s="14"/>
    </row>
    <row r="29" spans="1:17" s="15" customFormat="1" ht="18" customHeight="1">
      <c r="A29" s="21" t="s">
        <v>123</v>
      </c>
      <c r="B29" s="19">
        <f>'VEG6-7'!$T41</f>
        <v>255.416</v>
      </c>
      <c r="C29" s="19">
        <f>'VEG6-7'!$U41</f>
        <v>8232.173</v>
      </c>
      <c r="D29" s="19">
        <f>'VEG7-8'!$T41</f>
        <v>269.74399999999997</v>
      </c>
      <c r="E29" s="19">
        <f>'VEG7-8'!$U41</f>
        <v>9055.969</v>
      </c>
      <c r="F29" s="19">
        <f>'VEG8-9 '!T41</f>
        <v>280.155</v>
      </c>
      <c r="G29" s="19">
        <f>'VEG8-9 '!U41</f>
        <v>9622.96</v>
      </c>
      <c r="H29" s="22" t="e">
        <v>#REF!</v>
      </c>
      <c r="I29" s="22" t="e">
        <v>#REF!</v>
      </c>
      <c r="J29" s="22">
        <v>14</v>
      </c>
      <c r="K29" s="22">
        <v>816</v>
      </c>
      <c r="N29" s="14"/>
      <c r="O29" s="14"/>
      <c r="P29" s="14"/>
      <c r="Q29" s="14"/>
    </row>
    <row r="30" spans="1:17" s="15" customFormat="1" ht="18" customHeight="1">
      <c r="A30" s="21" t="s">
        <v>124</v>
      </c>
      <c r="B30" s="19">
        <f>'VEG6-7'!$R41</f>
        <v>122.654</v>
      </c>
      <c r="C30" s="19">
        <f>'VEG6-7'!$S41</f>
        <v>1067.129</v>
      </c>
      <c r="D30" s="19">
        <f>'VEG7-8'!$R41</f>
        <v>122.56900000000002</v>
      </c>
      <c r="E30" s="19">
        <f>'VEG7-8'!$S41</f>
        <v>1094.334</v>
      </c>
      <c r="F30" s="19">
        <f>'VEG8-9 '!R41</f>
        <v>124.30800000000002</v>
      </c>
      <c r="G30" s="19">
        <f>'VEG8-9 '!S41</f>
        <v>1119.749</v>
      </c>
      <c r="H30" s="22" t="e">
        <v>#REF!</v>
      </c>
      <c r="I30" s="22" t="e">
        <v>#REF!</v>
      </c>
      <c r="J30" s="22">
        <v>3</v>
      </c>
      <c r="K30" s="22">
        <v>79</v>
      </c>
      <c r="N30" s="14"/>
      <c r="O30" s="14"/>
      <c r="P30" s="14"/>
      <c r="Q30" s="14"/>
    </row>
    <row r="31" spans="1:17" s="15" customFormat="1" ht="18" customHeight="1">
      <c r="A31" s="21" t="s">
        <v>113</v>
      </c>
      <c r="B31" s="19">
        <f>'VEG6-7'!$V41</f>
        <v>2282.22165</v>
      </c>
      <c r="C31" s="19">
        <f>'VEG6-7'!$W41</f>
        <v>29145.698</v>
      </c>
      <c r="D31" s="19">
        <f>'VEG7-8'!$V41</f>
        <v>2414.382</v>
      </c>
      <c r="E31" s="19">
        <f>'VEG7-8'!$W41</f>
        <v>31401.64000000001</v>
      </c>
      <c r="F31" s="19">
        <f>'VEG8-9 '!V41</f>
        <v>2275.415</v>
      </c>
      <c r="G31" s="19">
        <f>'VEG8-9 '!W41</f>
        <v>28006.308000000005</v>
      </c>
      <c r="H31" s="22" t="e">
        <v>#REF!</v>
      </c>
      <c r="I31" s="22" t="e">
        <v>#REF!</v>
      </c>
      <c r="J31" s="22">
        <v>102</v>
      </c>
      <c r="K31" s="22">
        <v>1716</v>
      </c>
      <c r="N31" s="14"/>
      <c r="O31" s="14"/>
      <c r="P31" s="14"/>
      <c r="Q31" s="14"/>
    </row>
    <row r="32" spans="1:17" s="27" customFormat="1" ht="18" customHeight="1">
      <c r="A32" s="23" t="s">
        <v>68</v>
      </c>
      <c r="B32" s="16">
        <f>'VEG6-7'!X41</f>
        <v>7580.536650000001</v>
      </c>
      <c r="C32" s="16">
        <f>'VEG6-7'!Y41</f>
        <v>114993.28999999998</v>
      </c>
      <c r="D32" s="16">
        <f>'VEG7-8'!$X41</f>
        <v>7848.343999999999</v>
      </c>
      <c r="E32" s="16">
        <f>'VEG7-8'!$Y41</f>
        <v>128448.79100000001</v>
      </c>
      <c r="F32" s="16">
        <f>'HORTICULTURE08-09'!D42</f>
        <v>7980.709000000003</v>
      </c>
      <c r="G32" s="16">
        <f>'HORTICULTURE08-09'!E42</f>
        <v>129076.77900000001</v>
      </c>
      <c r="H32" s="25" t="e">
        <v>#REF!</v>
      </c>
      <c r="I32" s="25" t="e">
        <v>#REF!</v>
      </c>
      <c r="J32" s="25">
        <v>224</v>
      </c>
      <c r="K32" s="25">
        <v>10908</v>
      </c>
      <c r="L32" s="25">
        <v>113</v>
      </c>
      <c r="M32" s="25">
        <v>5084</v>
      </c>
      <c r="N32" s="26"/>
      <c r="O32" s="26"/>
      <c r="P32" s="26"/>
      <c r="Q32" s="26"/>
    </row>
    <row r="33" spans="1:17" s="15" customFormat="1" ht="18" customHeight="1">
      <c r="A33" s="29"/>
      <c r="B33" s="19"/>
      <c r="C33" s="19"/>
      <c r="D33" s="19"/>
      <c r="E33" s="19"/>
      <c r="F33" s="19"/>
      <c r="G33" s="19"/>
      <c r="H33" s="22"/>
      <c r="I33" s="22"/>
      <c r="J33" s="22"/>
      <c r="K33" s="22"/>
      <c r="N33" s="14"/>
      <c r="O33" s="14"/>
      <c r="P33" s="14"/>
      <c r="Q33" s="14"/>
    </row>
    <row r="34" spans="1:17" s="15" customFormat="1" ht="18" customHeight="1">
      <c r="A34" s="30" t="s">
        <v>125</v>
      </c>
      <c r="B34" s="19">
        <f>'HORTICULTURE06-07'!$I42</f>
        <v>324.20000000000005</v>
      </c>
      <c r="C34" s="19">
        <f>'HORTICULTURE06-07'!$J42</f>
        <v>178.4</v>
      </c>
      <c r="D34" s="19">
        <f>'HORTI07-08'!$I42</f>
        <v>396.883</v>
      </c>
      <c r="E34" s="19">
        <f>'HORTI07-08'!$J42</f>
        <v>395.71999999999997</v>
      </c>
      <c r="F34" s="19">
        <f>'HORTICULTURE08-09'!I42</f>
        <v>430.19</v>
      </c>
      <c r="G34" s="19">
        <f>'HORTICULTURE08-09'!J42</f>
        <v>430.02899999999994</v>
      </c>
      <c r="H34" s="22" t="e">
        <v>#REF!</v>
      </c>
      <c r="I34" s="22" t="e">
        <v>#REF!</v>
      </c>
      <c r="J34" s="22">
        <v>62</v>
      </c>
      <c r="K34" s="22">
        <v>147</v>
      </c>
      <c r="L34" s="22">
        <v>17</v>
      </c>
      <c r="M34" s="22">
        <v>58</v>
      </c>
      <c r="N34" s="14"/>
      <c r="O34" s="14"/>
      <c r="P34" s="14"/>
      <c r="Q34" s="14"/>
    </row>
    <row r="35" spans="1:17" s="15" customFormat="1" ht="18" customHeight="1">
      <c r="A35" s="18" t="s">
        <v>126</v>
      </c>
      <c r="B35" s="19">
        <f>'HORTICULTURE06-07'!$K42</f>
        <v>132.01000000000002</v>
      </c>
      <c r="C35" s="19">
        <f>'HORTICULTURE06-07'!$L42</f>
        <v>149.97000000000003</v>
      </c>
      <c r="D35" s="19">
        <f>'HORTI07-08'!$K42</f>
        <v>132.3</v>
      </c>
      <c r="E35" s="19">
        <f>'HORTI07-08'!$L42</f>
        <v>176.50000000000003</v>
      </c>
      <c r="F35" s="19">
        <f>'HORTICULTURE08-09'!K42</f>
        <v>136.494</v>
      </c>
      <c r="G35" s="19">
        <f>'HORTICULTURE08-09'!L42</f>
        <v>172.621</v>
      </c>
      <c r="H35" s="22" t="e">
        <v>#REF!</v>
      </c>
      <c r="I35" s="22" t="e">
        <v>#REF!</v>
      </c>
      <c r="J35" s="22">
        <v>0.35899999999998045</v>
      </c>
      <c r="K35" s="22">
        <v>26.545</v>
      </c>
      <c r="L35" s="22">
        <v>0</v>
      </c>
      <c r="M35" s="22">
        <v>0</v>
      </c>
      <c r="N35" s="14"/>
      <c r="O35" s="14"/>
      <c r="P35" s="14"/>
      <c r="Q35" s="14"/>
    </row>
    <row r="36" spans="1:17" s="15" customFormat="1" ht="18" customHeight="1">
      <c r="A36" s="18" t="s">
        <v>127</v>
      </c>
      <c r="B36" s="19">
        <f>'HORTICULTURE06-07'!$F42</f>
        <v>143.918</v>
      </c>
      <c r="C36" s="19">
        <f>'HORTICULTURE06-07'!$G42</f>
        <v>880.1999999999999</v>
      </c>
      <c r="D36" s="19">
        <f>'HORTI07-08'!$F42</f>
        <v>166.21200000000002</v>
      </c>
      <c r="E36" s="19">
        <f>'HORTI07-08'!$G42</f>
        <v>868.3739999999999</v>
      </c>
      <c r="F36" s="19">
        <f>'HORTICULTURE08-09'!F42</f>
        <v>166.518</v>
      </c>
      <c r="G36" s="19">
        <f>'HORTICULTURE08-09'!G42</f>
        <v>987.393</v>
      </c>
      <c r="H36" s="22" t="e">
        <v>#REF!</v>
      </c>
      <c r="I36" s="22" t="e">
        <v>#REF!</v>
      </c>
      <c r="J36" s="22">
        <v>17</v>
      </c>
      <c r="K36" s="22">
        <v>-10</v>
      </c>
      <c r="L36" s="22">
        <v>4</v>
      </c>
      <c r="M36" s="22">
        <v>43</v>
      </c>
      <c r="N36" s="14"/>
      <c r="O36" s="14"/>
      <c r="P36" s="14"/>
      <c r="Q36" s="14"/>
    </row>
    <row r="37" spans="1:17" s="15" customFormat="1" ht="18" customHeight="1">
      <c r="A37" s="18" t="s">
        <v>128</v>
      </c>
      <c r="B37" s="19"/>
      <c r="C37" s="19">
        <f>'HORTICULTURE06-07'!$H42</f>
        <v>37174.78</v>
      </c>
      <c r="D37" s="19"/>
      <c r="E37" s="19">
        <f>'HORTI07-08'!$H42</f>
        <v>43654.183999999994</v>
      </c>
      <c r="F37" s="19"/>
      <c r="G37" s="19">
        <f>'HORTICULTURE08-09'!H42</f>
        <v>47941.971999999994</v>
      </c>
      <c r="H37" s="22"/>
      <c r="I37" s="22"/>
      <c r="J37" s="22"/>
      <c r="K37" s="22"/>
      <c r="N37" s="14"/>
      <c r="O37" s="14"/>
      <c r="P37" s="14"/>
      <c r="Q37" s="14"/>
    </row>
    <row r="38" spans="1:17" s="15" customFormat="1" ht="18" customHeight="1">
      <c r="A38" s="18" t="s">
        <v>129</v>
      </c>
      <c r="B38" s="16">
        <f>'HORTICULTURE06-07'!$O42</f>
        <v>3206.8999999999996</v>
      </c>
      <c r="C38" s="16">
        <f>'HORTICULTURE06-07'!$P42</f>
        <v>12007.274886348005</v>
      </c>
      <c r="D38" s="16">
        <f>'HORTI07-08'!O42</f>
        <v>3189.5899999999992</v>
      </c>
      <c r="E38" s="16">
        <f>'HORTI07-08'!P42</f>
        <v>11299.913833448038</v>
      </c>
      <c r="F38" s="16">
        <f>'HORTICULTURE08-09'!O42</f>
        <v>3217.3389999999995</v>
      </c>
      <c r="G38" s="16">
        <f>'HORTICULTURE08-09'!P42</f>
        <v>11336.393833448037</v>
      </c>
      <c r="H38" s="25" t="e">
        <v>#REF!</v>
      </c>
      <c r="I38" s="25" t="e">
        <v>#REF!</v>
      </c>
      <c r="J38" s="25">
        <v>19.444000000000415</v>
      </c>
      <c r="K38" s="25">
        <v>38.07999999999993</v>
      </c>
      <c r="L38" s="25">
        <v>0</v>
      </c>
      <c r="M38" s="25">
        <v>0</v>
      </c>
      <c r="N38" s="26"/>
      <c r="O38" s="26"/>
      <c r="P38" s="26"/>
      <c r="Q38" s="26"/>
    </row>
    <row r="39" spans="1:17" s="15" customFormat="1" ht="18" customHeight="1" hidden="1">
      <c r="A39" s="21" t="s">
        <v>67</v>
      </c>
      <c r="B39" s="19">
        <f>'PLANTATION6-7'!$H42</f>
        <v>1939.8999999999999</v>
      </c>
      <c r="C39" s="19">
        <f>'PLANTATION6-7'!$I42</f>
        <v>10893.794886348001</v>
      </c>
      <c r="D39" s="19">
        <f>'PLANTATION7-8'!$H42</f>
        <v>1903.1899999999998</v>
      </c>
      <c r="E39" s="19">
        <f>'PLANTATION7-8'!$I42</f>
        <v>10148.313833448037</v>
      </c>
      <c r="F39" s="19">
        <f>'PLANTATION8-9'!H42</f>
        <v>1903.1899999999998</v>
      </c>
      <c r="G39" s="19">
        <f>'PLANTATION8-9'!I42</f>
        <v>10148.313833448037</v>
      </c>
      <c r="H39" s="22" t="e">
        <v>#REF!</v>
      </c>
      <c r="I39" s="22" t="e">
        <v>#REF!</v>
      </c>
      <c r="J39" s="22">
        <v>0</v>
      </c>
      <c r="K39" s="22">
        <v>0</v>
      </c>
      <c r="N39" s="14"/>
      <c r="O39" s="14"/>
      <c r="P39" s="14"/>
      <c r="Q39" s="14"/>
    </row>
    <row r="40" spans="1:17" s="15" customFormat="1" ht="18" customHeight="1" hidden="1">
      <c r="A40" s="21" t="s">
        <v>64</v>
      </c>
      <c r="B40" s="19">
        <f>'PLANTATION6-7'!$B42</f>
        <v>854</v>
      </c>
      <c r="C40" s="19">
        <f>'PLANTATION6-7'!$C42</f>
        <v>620</v>
      </c>
      <c r="D40" s="19">
        <f>'PLANTATION7-8'!$B42</f>
        <v>868</v>
      </c>
      <c r="E40" s="19">
        <f>'PLANTATION7-8'!$C42</f>
        <v>665</v>
      </c>
      <c r="F40" s="19">
        <f>'PLANTATION8-9'!B42</f>
        <v>893</v>
      </c>
      <c r="G40" s="19">
        <f>'PLANTATION8-9'!C42</f>
        <v>695</v>
      </c>
      <c r="H40" s="22" t="e">
        <v>#REF!</v>
      </c>
      <c r="I40" s="22" t="e">
        <v>#REF!</v>
      </c>
      <c r="J40" s="22">
        <v>14</v>
      </c>
      <c r="K40" s="22">
        <v>45</v>
      </c>
      <c r="N40" s="14"/>
      <c r="O40" s="14"/>
      <c r="P40" s="14"/>
      <c r="Q40" s="14"/>
    </row>
    <row r="41" spans="1:17" s="15" customFormat="1" ht="18" customHeight="1" hidden="1">
      <c r="A41" s="21" t="s">
        <v>65</v>
      </c>
      <c r="B41" s="19">
        <f>'PLANTATION6-7'!$D42</f>
        <v>382.70000000000005</v>
      </c>
      <c r="C41" s="19">
        <f>'PLANTATION6-7'!$E42</f>
        <v>483.30000000000007</v>
      </c>
      <c r="D41" s="19">
        <f>'PLANTATION7-8'!$D42</f>
        <v>386.59999999999997</v>
      </c>
      <c r="E41" s="19">
        <f>'PLANTATION7-8'!$E42</f>
        <v>476.00000000000006</v>
      </c>
      <c r="F41" s="19">
        <f>'PLANTATION8-9'!D42</f>
        <v>387.0999999999999</v>
      </c>
      <c r="G41" s="19">
        <f>'PLANTATION8-9'!E42</f>
        <v>481.28</v>
      </c>
      <c r="H41" s="22" t="e">
        <v>#REF!</v>
      </c>
      <c r="I41" s="22" t="e">
        <v>#REF!</v>
      </c>
      <c r="J41" s="22">
        <v>3.8999999999999204</v>
      </c>
      <c r="K41" s="22">
        <v>-7.300000000000011</v>
      </c>
      <c r="N41" s="14"/>
      <c r="O41" s="14"/>
      <c r="P41" s="14"/>
      <c r="Q41" s="14"/>
    </row>
    <row r="42" spans="1:17" s="15" customFormat="1" ht="18" customHeight="1" hidden="1">
      <c r="A42" s="21" t="s">
        <v>66</v>
      </c>
      <c r="B42" s="19">
        <f>'PLANTATION6-7'!$F42</f>
        <v>30.341</v>
      </c>
      <c r="C42" s="19">
        <f>'PLANTATION6-7'!$G42</f>
        <v>10.18</v>
      </c>
      <c r="D42" s="19">
        <f>'PLANTATION7-8'!$F42</f>
        <v>31.799999999999997</v>
      </c>
      <c r="E42" s="19">
        <f>'PLANTATION7-8'!$G42</f>
        <v>10.6</v>
      </c>
      <c r="F42" s="19">
        <f>'PLANTATION8-9'!F42</f>
        <v>34.049</v>
      </c>
      <c r="G42" s="19">
        <f>'PLANTATION8-9'!G42</f>
        <v>11.8</v>
      </c>
      <c r="H42" s="22" t="e">
        <v>#REF!</v>
      </c>
      <c r="I42" s="22" t="e">
        <v>#REF!</v>
      </c>
      <c r="J42" s="22">
        <v>1.543999999999997</v>
      </c>
      <c r="K42" s="22">
        <v>0.3800000000000008</v>
      </c>
      <c r="N42" s="14"/>
      <c r="O42" s="14"/>
      <c r="P42" s="14"/>
      <c r="Q42" s="14"/>
    </row>
    <row r="43" s="27" customFormat="1" ht="18" customHeight="1">
      <c r="A43" s="23" t="s">
        <v>68</v>
      </c>
    </row>
    <row r="44" spans="2:17" s="15" customFormat="1" ht="18" customHeight="1">
      <c r="B44" s="19"/>
      <c r="C44" s="19"/>
      <c r="D44" s="19"/>
      <c r="E44" s="19"/>
      <c r="F44" s="19"/>
      <c r="G44" s="19"/>
      <c r="H44" s="22"/>
      <c r="I44" s="22"/>
      <c r="J44" s="22"/>
      <c r="K44" s="22"/>
      <c r="N44" s="14"/>
      <c r="O44" s="14"/>
      <c r="P44" s="14"/>
      <c r="Q44" s="14"/>
    </row>
    <row r="45" spans="1:17" s="15" customFormat="1" ht="18" customHeight="1">
      <c r="A45" s="31" t="s">
        <v>130</v>
      </c>
      <c r="B45" s="19"/>
      <c r="C45" s="19">
        <f>'HORTICULTURE06-07'!$S42</f>
        <v>37.300000000000004</v>
      </c>
      <c r="D45" s="19"/>
      <c r="E45" s="19">
        <f>'HORTI07-08'!$S42</f>
        <v>36.900000000000006</v>
      </c>
      <c r="F45" s="19"/>
      <c r="G45" s="19">
        <f>'HORTICULTURE08-09'!S42</f>
        <v>37.278000000000006</v>
      </c>
      <c r="H45" s="22" t="e">
        <v>#REF!</v>
      </c>
      <c r="I45" s="22" t="e">
        <v>#REF!</v>
      </c>
      <c r="J45" s="22">
        <v>0</v>
      </c>
      <c r="K45" s="22">
        <v>-0.47700000000000387</v>
      </c>
      <c r="L45" s="22">
        <v>0</v>
      </c>
      <c r="M45" s="22">
        <v>0</v>
      </c>
      <c r="N45" s="14"/>
      <c r="O45" s="14"/>
      <c r="P45" s="14"/>
      <c r="Q45" s="14"/>
    </row>
    <row r="46" spans="1:17" s="15" customFormat="1" ht="18" customHeight="1">
      <c r="A46" s="31" t="s">
        <v>131</v>
      </c>
      <c r="B46" s="19"/>
      <c r="C46" s="19">
        <f>'HORTICULTURE06-07'!$T42</f>
        <v>50.5</v>
      </c>
      <c r="D46" s="19"/>
      <c r="E46" s="19">
        <f>'HORTI07-08'!$T42</f>
        <v>65</v>
      </c>
      <c r="F46" s="19"/>
      <c r="G46" s="19">
        <f>'HORTICULTURE08-09'!T42</f>
        <v>65</v>
      </c>
      <c r="H46" s="22" t="e">
        <v>#REF!</v>
      </c>
      <c r="I46" s="22" t="e">
        <v>#REF!</v>
      </c>
      <c r="J46" s="22">
        <v>0</v>
      </c>
      <c r="K46" s="22">
        <v>14.5</v>
      </c>
      <c r="L46" s="22">
        <v>0</v>
      </c>
      <c r="M46" s="22">
        <v>0</v>
      </c>
      <c r="N46" s="14"/>
      <c r="O46" s="14"/>
      <c r="P46" s="14"/>
      <c r="Q46" s="14"/>
    </row>
    <row r="47" spans="1:17" s="15" customFormat="1" ht="18" customHeight="1">
      <c r="A47" s="31" t="s">
        <v>132</v>
      </c>
      <c r="B47" s="19">
        <f>'HORTICULTURE06-07'!$M42</f>
        <v>2447.8</v>
      </c>
      <c r="C47" s="19">
        <f>'HORTICULTURE06-07'!$N42</f>
        <v>3953.0999999999995</v>
      </c>
      <c r="D47" s="19">
        <f>'HORTI07-08'!$M42</f>
        <v>2616.66</v>
      </c>
      <c r="E47" s="19">
        <f>'HORTI07-08'!$N42</f>
        <v>4356.73</v>
      </c>
      <c r="F47" s="19">
        <f>'HORTICULTURE08-09'!M42</f>
        <v>2629.43</v>
      </c>
      <c r="G47" s="19">
        <f>'HORTICULTURE08-09'!N42</f>
        <v>4144.919999999999</v>
      </c>
      <c r="H47" s="22" t="e">
        <v>#REF!</v>
      </c>
      <c r="I47" s="22" t="e">
        <v>#REF!</v>
      </c>
      <c r="J47" s="22">
        <v>155.49</v>
      </c>
      <c r="K47" s="22">
        <v>149.61999999999898</v>
      </c>
      <c r="L47" s="22">
        <v>0</v>
      </c>
      <c r="M47" s="22">
        <v>0</v>
      </c>
      <c r="N47" s="14"/>
      <c r="O47" s="14"/>
      <c r="P47" s="14"/>
      <c r="Q47" s="14"/>
    </row>
    <row r="48" spans="1:23" s="27" customFormat="1" ht="18" customHeight="1">
      <c r="A48" s="32" t="s">
        <v>146</v>
      </c>
      <c r="B48" s="16">
        <f>'HORTICULTURE06-07'!$U42</f>
        <v>19389.09742</v>
      </c>
      <c r="C48" s="16">
        <f>'HORTICULTURE06-07'!$V42</f>
        <v>191813.367386348</v>
      </c>
      <c r="D48" s="16">
        <f>'HORTI07-08'!$U42</f>
        <v>20207.215999999997</v>
      </c>
      <c r="E48" s="16">
        <f>'HORTI07-08'!$V42</f>
        <v>211234.21683344807</v>
      </c>
      <c r="F48" s="16">
        <f>'HORTICULTURE08-09'!U42</f>
        <v>20661.578</v>
      </c>
      <c r="G48" s="16">
        <f>'HORTICULTURE08-09'!V42</f>
        <v>214715.93933344807</v>
      </c>
      <c r="H48" s="25" t="e">
        <v>#REF!</v>
      </c>
      <c r="I48" s="25" t="e">
        <v>#REF!</v>
      </c>
      <c r="J48" s="25">
        <v>699</v>
      </c>
      <c r="K48" s="25">
        <v>15212</v>
      </c>
      <c r="L48" s="25">
        <v>244</v>
      </c>
      <c r="M48" s="25">
        <v>7550</v>
      </c>
      <c r="N48" s="26"/>
      <c r="O48" s="26"/>
      <c r="P48" s="26"/>
      <c r="Q48" s="26"/>
      <c r="R48" s="25"/>
      <c r="S48" s="25"/>
      <c r="T48" s="25"/>
      <c r="U48" s="25"/>
      <c r="V48" s="25"/>
      <c r="W48" s="25"/>
    </row>
    <row r="49" spans="1:7" ht="15" customHeight="1" hidden="1">
      <c r="A49" s="33" t="s">
        <v>133</v>
      </c>
      <c r="B49" s="12" t="e">
        <v>#REF!</v>
      </c>
      <c r="C49" s="12" t="e">
        <v>#REF!</v>
      </c>
      <c r="D49" s="12">
        <v>3.6</v>
      </c>
      <c r="E49" s="12">
        <v>7.9</v>
      </c>
      <c r="F49" s="12">
        <v>1.2</v>
      </c>
      <c r="G49" s="12">
        <v>3.6</v>
      </c>
    </row>
    <row r="50" spans="1:7" ht="14.25">
      <c r="A50" s="34" t="s">
        <v>134</v>
      </c>
      <c r="B50" s="12"/>
      <c r="C50" s="12"/>
      <c r="D50" s="12"/>
      <c r="E50" s="12"/>
      <c r="F50" s="12"/>
      <c r="G50" s="12"/>
    </row>
    <row r="51" ht="14.25">
      <c r="A51" s="34" t="s">
        <v>135</v>
      </c>
    </row>
    <row r="52" ht="14.25">
      <c r="A52" s="34"/>
    </row>
    <row r="54" ht="14.25" hidden="1">
      <c r="A54" s="11" t="s">
        <v>144</v>
      </c>
    </row>
    <row r="55" spans="2:3" ht="14.25" hidden="1">
      <c r="B55" s="265" t="s">
        <v>143</v>
      </c>
      <c r="C55" s="265"/>
    </row>
    <row r="56" spans="1:3" ht="14.25" hidden="1">
      <c r="A56" s="11" t="s">
        <v>139</v>
      </c>
      <c r="B56" s="11">
        <v>18707.5</v>
      </c>
      <c r="C56" s="11">
        <v>182817.4</v>
      </c>
    </row>
    <row r="57" spans="1:3" ht="14.25" hidden="1">
      <c r="A57" s="11" t="s">
        <v>140</v>
      </c>
      <c r="B57" s="11">
        <v>5323.5</v>
      </c>
      <c r="C57" s="11">
        <v>55355.7</v>
      </c>
    </row>
    <row r="58" spans="1:3" ht="14.25" hidden="1">
      <c r="A58" s="11" t="s">
        <v>141</v>
      </c>
      <c r="B58" s="11">
        <v>7213.3</v>
      </c>
      <c r="C58" s="11">
        <v>111399.3</v>
      </c>
    </row>
    <row r="59" spans="1:3" ht="14.25" hidden="1">
      <c r="A59" s="11" t="s">
        <v>142</v>
      </c>
      <c r="B59" s="11">
        <v>3282.9</v>
      </c>
      <c r="C59" s="11">
        <v>11262.8</v>
      </c>
    </row>
    <row r="60" spans="1:3" ht="14.25" hidden="1">
      <c r="A60" s="11" t="s">
        <v>132</v>
      </c>
      <c r="B60" s="11">
        <v>2365.6</v>
      </c>
      <c r="C60" s="11">
        <v>3705.4</v>
      </c>
    </row>
  </sheetData>
  <sheetProtection/>
  <mergeCells count="9">
    <mergeCell ref="B55:C55"/>
    <mergeCell ref="A1:G1"/>
    <mergeCell ref="H4:M5"/>
    <mergeCell ref="D4:E4"/>
    <mergeCell ref="A4:A5"/>
    <mergeCell ref="B4:C4"/>
    <mergeCell ref="F4:G4"/>
    <mergeCell ref="F2:G2"/>
    <mergeCell ref="F3:G3"/>
  </mergeCells>
  <printOptions gridLines="1"/>
  <pageMargins left="1.08" right="0.75" top="0.37" bottom="0.27" header="0.2" footer="0.15"/>
  <pageSetup horizontalDpi="600" verticalDpi="600" orientation="portrait" scale="75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48"/>
  <sheetViews>
    <sheetView view="pageBreakPreview" zoomScaleSheetLayoutView="100" zoomScalePageLayoutView="0" workbookViewId="0" topLeftCell="A1">
      <selection activeCell="A1" sqref="A1:V1"/>
    </sheetView>
  </sheetViews>
  <sheetFormatPr defaultColWidth="9.140625" defaultRowHeight="12.75"/>
  <cols>
    <col min="1" max="1" width="20.28125" style="121" customWidth="1"/>
    <col min="2" max="2" width="7.7109375" style="119" customWidth="1"/>
    <col min="3" max="3" width="8.140625" style="119" customWidth="1"/>
    <col min="4" max="4" width="6.7109375" style="119" customWidth="1"/>
    <col min="5" max="5" width="8.57421875" style="119" customWidth="1"/>
    <col min="6" max="6" width="7.421875" style="119" customWidth="1"/>
    <col min="7" max="7" width="6.7109375" style="101" bestFit="1" customWidth="1"/>
    <col min="8" max="8" width="8.7109375" style="101" customWidth="1"/>
    <col min="9" max="9" width="5.8515625" style="119" customWidth="1"/>
    <col min="10" max="10" width="5.140625" style="119" customWidth="1"/>
    <col min="11" max="11" width="5.28125" style="118" customWidth="1"/>
    <col min="12" max="12" width="5.421875" style="118" customWidth="1"/>
    <col min="13" max="13" width="6.28125" style="97" customWidth="1"/>
    <col min="14" max="14" width="7.140625" style="97" customWidth="1"/>
    <col min="15" max="15" width="7.421875" style="119" customWidth="1"/>
    <col min="16" max="16" width="7.57421875" style="119" customWidth="1"/>
    <col min="17" max="18" width="8.140625" style="119" hidden="1" customWidth="1"/>
    <col min="19" max="19" width="8.00390625" style="119" customWidth="1"/>
    <col min="20" max="20" width="8.140625" style="119" customWidth="1"/>
    <col min="21" max="21" width="8.00390625" style="121" customWidth="1"/>
    <col min="22" max="22" width="8.8515625" style="121" customWidth="1"/>
    <col min="23" max="16384" width="9.140625" style="97" customWidth="1"/>
  </cols>
  <sheetData>
    <row r="1" spans="1:22" s="241" customFormat="1" ht="12">
      <c r="A1" s="298" t="s">
        <v>155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</row>
    <row r="2" spans="1:22" s="241" customFormat="1" ht="12">
      <c r="A2" s="261"/>
      <c r="B2" s="242"/>
      <c r="C2" s="242"/>
      <c r="D2" s="252"/>
      <c r="E2" s="252"/>
      <c r="F2" s="252"/>
      <c r="G2" s="252"/>
      <c r="H2" s="252"/>
      <c r="I2" s="252"/>
      <c r="J2" s="252"/>
      <c r="K2" s="259"/>
      <c r="L2" s="259"/>
      <c r="O2" s="252"/>
      <c r="P2" s="252"/>
      <c r="Q2" s="252"/>
      <c r="R2" s="252"/>
      <c r="S2" s="252"/>
      <c r="T2" s="299" t="s">
        <v>148</v>
      </c>
      <c r="U2" s="299"/>
      <c r="V2" s="299"/>
    </row>
    <row r="3" spans="1:22" s="241" customFormat="1" ht="12">
      <c r="A3" s="261"/>
      <c r="B3" s="242"/>
      <c r="C3" s="242"/>
      <c r="D3" s="252"/>
      <c r="E3" s="252"/>
      <c r="F3" s="252"/>
      <c r="G3" s="252"/>
      <c r="H3" s="252"/>
      <c r="I3" s="252"/>
      <c r="J3" s="252"/>
      <c r="K3" s="259"/>
      <c r="L3" s="259"/>
      <c r="O3" s="252"/>
      <c r="P3" s="252"/>
      <c r="Q3" s="252"/>
      <c r="R3" s="252"/>
      <c r="S3" s="252"/>
      <c r="T3" s="300" t="s">
        <v>149</v>
      </c>
      <c r="U3" s="300"/>
      <c r="V3" s="300"/>
    </row>
    <row r="4" spans="1:22" s="81" customFormat="1" ht="29.25" customHeight="1">
      <c r="A4" s="78" t="s">
        <v>63</v>
      </c>
      <c r="B4" s="290" t="s">
        <v>74</v>
      </c>
      <c r="C4" s="290"/>
      <c r="D4" s="291" t="s">
        <v>136</v>
      </c>
      <c r="E4" s="291"/>
      <c r="F4" s="291" t="s">
        <v>76</v>
      </c>
      <c r="G4" s="291"/>
      <c r="H4" s="291"/>
      <c r="I4" s="291" t="s">
        <v>77</v>
      </c>
      <c r="J4" s="291"/>
      <c r="K4" s="290" t="s">
        <v>78</v>
      </c>
      <c r="L4" s="290"/>
      <c r="M4" s="291" t="s">
        <v>79</v>
      </c>
      <c r="N4" s="291"/>
      <c r="O4" s="290" t="s">
        <v>80</v>
      </c>
      <c r="P4" s="290"/>
      <c r="Q4" s="79"/>
      <c r="R4" s="79"/>
      <c r="S4" s="79" t="s">
        <v>137</v>
      </c>
      <c r="T4" s="80" t="s">
        <v>82</v>
      </c>
      <c r="U4" s="288" t="s">
        <v>13</v>
      </c>
      <c r="V4" s="289"/>
    </row>
    <row r="5" spans="1:22" s="81" customFormat="1" ht="12.75" customHeight="1">
      <c r="A5" s="82"/>
      <c r="B5" s="82" t="s">
        <v>62</v>
      </c>
      <c r="C5" s="82" t="s">
        <v>15</v>
      </c>
      <c r="D5" s="82" t="s">
        <v>62</v>
      </c>
      <c r="E5" s="82" t="s">
        <v>15</v>
      </c>
      <c r="F5" s="83" t="s">
        <v>62</v>
      </c>
      <c r="G5" s="293" t="s">
        <v>15</v>
      </c>
      <c r="H5" s="294"/>
      <c r="I5" s="82" t="s">
        <v>62</v>
      </c>
      <c r="J5" s="82" t="s">
        <v>15</v>
      </c>
      <c r="K5" s="82" t="s">
        <v>62</v>
      </c>
      <c r="L5" s="82" t="s">
        <v>15</v>
      </c>
      <c r="M5" s="82" t="s">
        <v>62</v>
      </c>
      <c r="N5" s="82" t="s">
        <v>15</v>
      </c>
      <c r="O5" s="82" t="s">
        <v>62</v>
      </c>
      <c r="P5" s="82" t="s">
        <v>15</v>
      </c>
      <c r="Q5" s="82" t="s">
        <v>15</v>
      </c>
      <c r="R5" s="82" t="s">
        <v>62</v>
      </c>
      <c r="S5" s="82" t="s">
        <v>15</v>
      </c>
      <c r="T5" s="82" t="s">
        <v>15</v>
      </c>
      <c r="U5" s="82" t="s">
        <v>62</v>
      </c>
      <c r="V5" s="82" t="s">
        <v>15</v>
      </c>
    </row>
    <row r="6" spans="1:22" s="88" customFormat="1" ht="14.25" customHeight="1">
      <c r="A6" s="82" t="s">
        <v>49</v>
      </c>
      <c r="B6" s="84"/>
      <c r="C6" s="84"/>
      <c r="D6" s="84"/>
      <c r="E6" s="84"/>
      <c r="F6" s="85"/>
      <c r="G6" s="82" t="s">
        <v>83</v>
      </c>
      <c r="H6" s="82" t="s">
        <v>84</v>
      </c>
      <c r="I6" s="84"/>
      <c r="J6" s="84"/>
      <c r="K6" s="84"/>
      <c r="L6" s="84"/>
      <c r="M6" s="84"/>
      <c r="N6" s="84"/>
      <c r="O6" s="84" t="s">
        <v>49</v>
      </c>
      <c r="P6" s="84"/>
      <c r="Q6" s="86"/>
      <c r="R6" s="86"/>
      <c r="S6" s="86"/>
      <c r="T6" s="86"/>
      <c r="U6" s="87"/>
      <c r="V6" s="80"/>
    </row>
    <row r="7" spans="1:22" ht="12">
      <c r="A7" s="89" t="s">
        <v>69</v>
      </c>
      <c r="B7" s="90">
        <f>'FRUITS6-7'!Z6</f>
        <v>2.77077</v>
      </c>
      <c r="C7" s="90">
        <f>'FRUITS6-7'!AA6</f>
        <v>20.8395</v>
      </c>
      <c r="D7" s="90">
        <f>'VEG6-7'!X6</f>
        <v>4.3309999999999995</v>
      </c>
      <c r="E7" s="90">
        <f>'VEG6-7'!Y6</f>
        <v>32.576</v>
      </c>
      <c r="F7" s="91">
        <v>0</v>
      </c>
      <c r="G7" s="92">
        <v>2.5</v>
      </c>
      <c r="H7" s="93"/>
      <c r="I7" s="94"/>
      <c r="J7" s="94"/>
      <c r="K7" s="91"/>
      <c r="L7" s="91"/>
      <c r="M7" s="92">
        <v>1.7</v>
      </c>
      <c r="N7" s="92">
        <v>3.6</v>
      </c>
      <c r="O7" s="95">
        <f>'PLANTATION6-7'!J7</f>
        <v>25.5</v>
      </c>
      <c r="P7" s="95">
        <f>'PLANTATION6-7'!K7</f>
        <v>67.0424651124384</v>
      </c>
      <c r="Q7" s="94"/>
      <c r="R7" s="94"/>
      <c r="S7" s="94"/>
      <c r="T7" s="94"/>
      <c r="U7" s="96">
        <f aca="true" t="shared" si="0" ref="U7:U42">B7+D7+F7+I7+K7+M7+O7</f>
        <v>34.30177</v>
      </c>
      <c r="V7" s="89">
        <f aca="true" t="shared" si="1" ref="V7:V42">C7+E7+G7+J7+L7+N7+P7+S7+T7</f>
        <v>126.55796511243841</v>
      </c>
    </row>
    <row r="8" spans="1:22" ht="12">
      <c r="A8" s="89" t="s">
        <v>17</v>
      </c>
      <c r="B8" s="94">
        <f>'FRUITS6-7'!Z7</f>
        <v>818</v>
      </c>
      <c r="C8" s="94">
        <f>'FRUITS6-7'!AA7</f>
        <v>10496.000000000002</v>
      </c>
      <c r="D8" s="94">
        <f>'VEG6-7'!X7</f>
        <v>265</v>
      </c>
      <c r="E8" s="94">
        <f>'VEG6-7'!Y7</f>
        <v>4355.8</v>
      </c>
      <c r="F8" s="94">
        <v>21.7</v>
      </c>
      <c r="G8" s="98">
        <v>116.2</v>
      </c>
      <c r="H8" s="99">
        <v>66</v>
      </c>
      <c r="I8" s="94">
        <v>9.1</v>
      </c>
      <c r="J8" s="94">
        <v>13.1</v>
      </c>
      <c r="K8" s="91"/>
      <c r="L8" s="91"/>
      <c r="M8" s="92">
        <v>311.9</v>
      </c>
      <c r="N8" s="92">
        <v>1206.5</v>
      </c>
      <c r="O8" s="100">
        <f>'PLANTATION6-7'!J8</f>
        <v>288.2</v>
      </c>
      <c r="P8" s="100">
        <f>'PLANTATION6-7'!K8</f>
        <v>1013.1639184167791</v>
      </c>
      <c r="Q8" s="94"/>
      <c r="R8" s="94"/>
      <c r="S8" s="94"/>
      <c r="T8" s="94"/>
      <c r="U8" s="96">
        <f t="shared" si="0"/>
        <v>1713.8999999999999</v>
      </c>
      <c r="V8" s="89">
        <f>C8+E8+G8+J8+L8+N8+P8+S8+T8</f>
        <v>17200.763918416782</v>
      </c>
    </row>
    <row r="9" spans="1:22" ht="12">
      <c r="A9" s="89" t="s">
        <v>18</v>
      </c>
      <c r="B9" s="94">
        <f>'FRUITS6-7'!Z8</f>
        <v>54.60000000000001</v>
      </c>
      <c r="C9" s="94">
        <f>'FRUITS6-7'!AA8</f>
        <v>107.9</v>
      </c>
      <c r="D9" s="94">
        <f>'VEG6-7'!X8</f>
        <v>23.8</v>
      </c>
      <c r="E9" s="94">
        <f>'VEG6-7'!Y8</f>
        <v>110</v>
      </c>
      <c r="F9" s="101"/>
      <c r="H9" s="102"/>
      <c r="I9" s="94"/>
      <c r="J9" s="94"/>
      <c r="K9" s="91">
        <v>3.8</v>
      </c>
      <c r="L9" s="91">
        <v>0.1</v>
      </c>
      <c r="M9" s="92">
        <v>8.2</v>
      </c>
      <c r="N9" s="92">
        <v>47.5</v>
      </c>
      <c r="O9" s="100">
        <f>'PLANTATION6-7'!J9</f>
        <v>0</v>
      </c>
      <c r="P9" s="100">
        <f>'PLANTATION6-7'!K9</f>
        <v>0</v>
      </c>
      <c r="Q9" s="91"/>
      <c r="R9" s="91"/>
      <c r="S9" s="91"/>
      <c r="T9" s="91"/>
      <c r="U9" s="96">
        <f t="shared" si="0"/>
        <v>90.4</v>
      </c>
      <c r="V9" s="89">
        <f t="shared" si="1"/>
        <v>265.5</v>
      </c>
    </row>
    <row r="10" spans="1:23" ht="12">
      <c r="A10" s="89" t="s">
        <v>19</v>
      </c>
      <c r="B10" s="94">
        <f>'FRUITS6-7'!Z9</f>
        <v>118.5</v>
      </c>
      <c r="C10" s="94">
        <f>'FRUITS6-7'!AA9</f>
        <v>1392.3000000000002</v>
      </c>
      <c r="D10" s="94">
        <f>'VEG6-7'!X9</f>
        <v>331.4</v>
      </c>
      <c r="E10" s="94">
        <f>'VEG6-7'!Y9</f>
        <v>4449.5</v>
      </c>
      <c r="F10" s="94"/>
      <c r="G10" s="98"/>
      <c r="H10" s="99"/>
      <c r="I10" s="94">
        <v>0</v>
      </c>
      <c r="J10" s="94">
        <v>0</v>
      </c>
      <c r="K10" s="91"/>
      <c r="L10" s="91"/>
      <c r="M10" s="92">
        <v>27.2</v>
      </c>
      <c r="N10" s="92">
        <v>18.5</v>
      </c>
      <c r="O10" s="100">
        <f>'PLANTATION6-7'!J10</f>
        <v>105</v>
      </c>
      <c r="P10" s="100">
        <f>'PLANTATION6-7'!K10</f>
        <v>181.28199058655144</v>
      </c>
      <c r="Q10" s="103"/>
      <c r="R10" s="103"/>
      <c r="S10" s="103"/>
      <c r="T10" s="103"/>
      <c r="U10" s="96">
        <f t="shared" si="0"/>
        <v>582.0999999999999</v>
      </c>
      <c r="V10" s="89">
        <f t="shared" si="1"/>
        <v>6041.581990586552</v>
      </c>
      <c r="W10" s="104"/>
    </row>
    <row r="11" spans="1:23" ht="12">
      <c r="A11" s="89" t="s">
        <v>20</v>
      </c>
      <c r="B11" s="94">
        <f>'FRUITS6-7'!Z10</f>
        <v>279.5</v>
      </c>
      <c r="C11" s="94">
        <f>'FRUITS6-7'!AA10</f>
        <v>3426.5</v>
      </c>
      <c r="D11" s="94">
        <f>'VEG6-7'!X10</f>
        <v>824.3</v>
      </c>
      <c r="E11" s="94">
        <f>'VEG6-7'!Y10</f>
        <v>13612.899999999998</v>
      </c>
      <c r="F11" s="100">
        <v>0.2</v>
      </c>
      <c r="G11" s="92">
        <v>2.3</v>
      </c>
      <c r="H11" s="93">
        <v>11</v>
      </c>
      <c r="I11" s="94"/>
      <c r="J11" s="94"/>
      <c r="K11" s="91"/>
      <c r="L11" s="91"/>
      <c r="M11" s="92">
        <v>11.1</v>
      </c>
      <c r="N11" s="92">
        <v>12.3</v>
      </c>
      <c r="O11" s="100">
        <f>'PLANTATION6-7'!J11</f>
        <v>0</v>
      </c>
      <c r="P11" s="100">
        <f>'PLANTATION6-7'!K11</f>
        <v>0</v>
      </c>
      <c r="Q11" s="91"/>
      <c r="R11" s="91"/>
      <c r="S11" s="91"/>
      <c r="T11" s="91"/>
      <c r="U11" s="96">
        <f t="shared" si="0"/>
        <v>1115.1</v>
      </c>
      <c r="V11" s="89">
        <f t="shared" si="1"/>
        <v>17053.999999999996</v>
      </c>
      <c r="W11" s="104"/>
    </row>
    <row r="12" spans="1:22" s="107" customFormat="1" ht="12">
      <c r="A12" s="105" t="s">
        <v>21</v>
      </c>
      <c r="B12" s="90">
        <f>'FRUITS6-7'!Z11</f>
        <v>0.1</v>
      </c>
      <c r="C12" s="90">
        <f>'FRUITS6-7'!AA11</f>
        <v>1.1</v>
      </c>
      <c r="D12" s="90">
        <f>'VEG6-7'!X11</f>
        <v>0.1</v>
      </c>
      <c r="E12" s="90">
        <f>'VEG6-7'!Y11</f>
        <v>1.7</v>
      </c>
      <c r="F12" s="100"/>
      <c r="G12" s="92"/>
      <c r="H12" s="93"/>
      <c r="I12" s="100">
        <v>0</v>
      </c>
      <c r="J12" s="100">
        <v>0</v>
      </c>
      <c r="K12" s="106"/>
      <c r="L12" s="106"/>
      <c r="M12" s="92"/>
      <c r="N12" s="92"/>
      <c r="O12" s="100">
        <f>'PLANTATION6-7'!J12</f>
        <v>0</v>
      </c>
      <c r="P12" s="100">
        <f>'PLANTATION6-7'!K12</f>
        <v>0</v>
      </c>
      <c r="Q12" s="106"/>
      <c r="R12" s="106"/>
      <c r="S12" s="106"/>
      <c r="T12" s="106"/>
      <c r="U12" s="96">
        <f t="shared" si="0"/>
        <v>0.2</v>
      </c>
      <c r="V12" s="89">
        <f t="shared" si="1"/>
        <v>2.8</v>
      </c>
    </row>
    <row r="13" spans="1:22" ht="12">
      <c r="A13" s="89" t="s">
        <v>70</v>
      </c>
      <c r="B13" s="94">
        <f>'FRUITS6-7'!Z12</f>
        <v>90.69999999999999</v>
      </c>
      <c r="C13" s="94">
        <f>'FRUITS6-7'!AA12</f>
        <v>609.6</v>
      </c>
      <c r="D13" s="94">
        <f>'VEG6-7'!X12</f>
        <v>277.1</v>
      </c>
      <c r="E13" s="94">
        <f>'VEG6-7'!Y12</f>
        <v>2801.9</v>
      </c>
      <c r="F13" s="91">
        <v>2</v>
      </c>
      <c r="G13" s="92">
        <v>7.8</v>
      </c>
      <c r="H13" s="93"/>
      <c r="I13" s="94">
        <v>2.8</v>
      </c>
      <c r="J13" s="94">
        <v>5</v>
      </c>
      <c r="K13" s="91"/>
      <c r="L13" s="91"/>
      <c r="M13" s="92">
        <v>11.9</v>
      </c>
      <c r="N13" s="92">
        <v>7.8</v>
      </c>
      <c r="O13" s="100">
        <f>'PLANTATION6-7'!J13</f>
        <v>0</v>
      </c>
      <c r="P13" s="100">
        <f>'PLANTATION6-7'!K13</f>
        <v>0</v>
      </c>
      <c r="Q13" s="91"/>
      <c r="R13" s="91"/>
      <c r="S13" s="91"/>
      <c r="T13" s="91"/>
      <c r="U13" s="96">
        <f t="shared" si="0"/>
        <v>384.5</v>
      </c>
      <c r="V13" s="89">
        <f t="shared" si="1"/>
        <v>3432.1000000000004</v>
      </c>
    </row>
    <row r="14" spans="1:23" s="107" customFormat="1" ht="12">
      <c r="A14" s="105" t="s">
        <v>23</v>
      </c>
      <c r="B14" s="90">
        <f>'FRUITS6-7'!Z13</f>
        <v>0.7</v>
      </c>
      <c r="C14" s="90">
        <f>'FRUITS6-7'!AA13</f>
        <v>7.1</v>
      </c>
      <c r="D14" s="90">
        <f>'VEG6-7'!X13</f>
        <v>1.5</v>
      </c>
      <c r="E14" s="90">
        <f>'VEG6-7'!Y13</f>
        <v>13.5</v>
      </c>
      <c r="F14" s="91"/>
      <c r="G14" s="92"/>
      <c r="H14" s="93"/>
      <c r="I14" s="100"/>
      <c r="J14" s="100"/>
      <c r="K14" s="106"/>
      <c r="L14" s="106"/>
      <c r="M14" s="92"/>
      <c r="N14" s="92"/>
      <c r="O14" s="100">
        <f>'PLANTATION6-7'!J14</f>
        <v>0</v>
      </c>
      <c r="P14" s="100">
        <f>'PLANTATION6-7'!K14</f>
        <v>0</v>
      </c>
      <c r="Q14" s="106"/>
      <c r="R14" s="106"/>
      <c r="S14" s="106"/>
      <c r="T14" s="106"/>
      <c r="U14" s="96">
        <f t="shared" si="0"/>
        <v>2.2</v>
      </c>
      <c r="V14" s="89">
        <f t="shared" si="1"/>
        <v>20.6</v>
      </c>
      <c r="W14" s="108"/>
    </row>
    <row r="15" spans="1:23" s="107" customFormat="1" ht="12">
      <c r="A15" s="105" t="s">
        <v>24</v>
      </c>
      <c r="B15" s="90">
        <f>'FRUITS6-7'!Z14</f>
        <v>0.017</v>
      </c>
      <c r="C15" s="90">
        <f>'FRUITS6-7'!AA14</f>
        <v>0.023000000000000003</v>
      </c>
      <c r="D15" s="90">
        <f>'VEG6-7'!X14</f>
        <v>0.162</v>
      </c>
      <c r="E15" s="90">
        <f>'VEG6-7'!Y14</f>
        <v>0.2</v>
      </c>
      <c r="F15" s="106">
        <v>0</v>
      </c>
      <c r="G15" s="92">
        <v>0</v>
      </c>
      <c r="H15" s="109"/>
      <c r="I15" s="100"/>
      <c r="J15" s="100"/>
      <c r="K15" s="106"/>
      <c r="L15" s="106"/>
      <c r="M15" s="92"/>
      <c r="N15" s="92"/>
      <c r="O15" s="100">
        <f>'PLANTATION6-7'!J15</f>
        <v>0</v>
      </c>
      <c r="P15" s="100">
        <f>'PLANTATION6-7'!K15</f>
        <v>0</v>
      </c>
      <c r="Q15" s="106"/>
      <c r="R15" s="106"/>
      <c r="S15" s="106"/>
      <c r="T15" s="106"/>
      <c r="U15" s="96">
        <f t="shared" si="0"/>
        <v>0.179</v>
      </c>
      <c r="V15" s="89">
        <f t="shared" si="1"/>
        <v>0.223</v>
      </c>
      <c r="W15" s="108"/>
    </row>
    <row r="16" spans="1:23" ht="12">
      <c r="A16" s="89" t="s">
        <v>25</v>
      </c>
      <c r="B16" s="90">
        <f>'FRUITS6-7'!Z15</f>
        <v>0.05499999999999999</v>
      </c>
      <c r="C16" s="90">
        <f>'FRUITS6-7'!AA15</f>
        <v>0.9869999999999999</v>
      </c>
      <c r="D16" s="94">
        <f>'VEG6-7'!X15</f>
        <v>39.7</v>
      </c>
      <c r="E16" s="94">
        <f>'VEG6-7'!Y15</f>
        <v>672</v>
      </c>
      <c r="F16" s="91">
        <v>5.5</v>
      </c>
      <c r="G16" s="92">
        <v>5.7</v>
      </c>
      <c r="H16" s="93">
        <v>1038</v>
      </c>
      <c r="I16" s="91"/>
      <c r="J16" s="91"/>
      <c r="K16" s="91"/>
      <c r="L16" s="91"/>
      <c r="M16" s="92"/>
      <c r="N16" s="92"/>
      <c r="O16" s="100">
        <f>'PLANTATION6-7'!J16</f>
        <v>0</v>
      </c>
      <c r="P16" s="100">
        <f>'PLANTATION6-7'!K16</f>
        <v>0</v>
      </c>
      <c r="Q16" s="91"/>
      <c r="R16" s="91"/>
      <c r="S16" s="91"/>
      <c r="T16" s="91"/>
      <c r="U16" s="96">
        <f t="shared" si="0"/>
        <v>45.255</v>
      </c>
      <c r="V16" s="89">
        <f t="shared" si="1"/>
        <v>678.687</v>
      </c>
      <c r="W16" s="104"/>
    </row>
    <row r="17" spans="1:23" ht="12">
      <c r="A17" s="89" t="s">
        <v>26</v>
      </c>
      <c r="B17" s="90">
        <f>'FRUITS6-7'!Z16</f>
        <v>10.787</v>
      </c>
      <c r="C17" s="90">
        <f>'FRUITS6-7'!AA16</f>
        <v>87.53999999999999</v>
      </c>
      <c r="D17" s="94">
        <f>'VEG6-7'!X16</f>
        <v>8.213</v>
      </c>
      <c r="E17" s="94">
        <f>'VEG6-7'!Y16</f>
        <v>84.29</v>
      </c>
      <c r="F17" s="91"/>
      <c r="G17" s="92"/>
      <c r="H17" s="93"/>
      <c r="I17" s="94"/>
      <c r="J17" s="94"/>
      <c r="K17" s="91"/>
      <c r="L17" s="91"/>
      <c r="M17" s="92">
        <v>0.7</v>
      </c>
      <c r="N17" s="92">
        <v>0.2</v>
      </c>
      <c r="O17" s="100">
        <f>'PLANTATION6-7'!J17</f>
        <v>82.2</v>
      </c>
      <c r="P17" s="100">
        <f>'PLANTATION6-7'!K17</f>
        <v>118.78449808703311</v>
      </c>
      <c r="Q17" s="94"/>
      <c r="R17" s="94"/>
      <c r="S17" s="94"/>
      <c r="T17" s="94"/>
      <c r="U17" s="96">
        <f t="shared" si="0"/>
        <v>101.9</v>
      </c>
      <c r="V17" s="89">
        <f t="shared" si="1"/>
        <v>290.8144980870331</v>
      </c>
      <c r="W17" s="104"/>
    </row>
    <row r="18" spans="1:22" ht="12">
      <c r="A18" s="89" t="s">
        <v>27</v>
      </c>
      <c r="B18" s="94">
        <f>'FRUITS6-7'!Z17</f>
        <v>288.3</v>
      </c>
      <c r="C18" s="94">
        <f>'FRUITS6-7'!AA17</f>
        <v>5344.4</v>
      </c>
      <c r="D18" s="94">
        <f>'VEG6-7'!X17</f>
        <v>366.09999999999997</v>
      </c>
      <c r="E18" s="94">
        <f>'VEG6-7'!Y17</f>
        <v>6062.499999999999</v>
      </c>
      <c r="F18" s="94">
        <v>8.4</v>
      </c>
      <c r="G18" s="92">
        <v>49.5</v>
      </c>
      <c r="H18" s="93">
        <v>5063</v>
      </c>
      <c r="I18" s="94"/>
      <c r="J18" s="94"/>
      <c r="K18" s="91"/>
      <c r="L18" s="91"/>
      <c r="M18" s="92">
        <v>299.8</v>
      </c>
      <c r="N18" s="92">
        <v>356.8</v>
      </c>
      <c r="O18" s="100">
        <f>'PLANTATION6-7'!J18</f>
        <v>20.4</v>
      </c>
      <c r="P18" s="100">
        <f>'PLANTATION6-7'!K18</f>
        <v>99.1666620792161</v>
      </c>
      <c r="Q18" s="110"/>
      <c r="R18" s="110"/>
      <c r="S18" s="110"/>
      <c r="T18" s="110"/>
      <c r="U18" s="96">
        <f t="shared" si="0"/>
        <v>982.9999999999999</v>
      </c>
      <c r="V18" s="89">
        <f t="shared" si="1"/>
        <v>11912.366662079214</v>
      </c>
    </row>
    <row r="19" spans="1:22" ht="12">
      <c r="A19" s="89" t="s">
        <v>28</v>
      </c>
      <c r="B19" s="94">
        <f>'FRUITS6-7'!Z18</f>
        <v>30.299999999999997</v>
      </c>
      <c r="C19" s="94">
        <f>'FRUITS6-7'!AA18</f>
        <v>241.9</v>
      </c>
      <c r="D19" s="94">
        <f>'VEG6-7'!X18</f>
        <v>280.8</v>
      </c>
      <c r="E19" s="94">
        <f>'VEG6-7'!Y18</f>
        <v>3366.8999999999996</v>
      </c>
      <c r="F19" s="94">
        <v>5.6</v>
      </c>
      <c r="G19" s="92">
        <v>52.1</v>
      </c>
      <c r="H19" s="93">
        <v>1404</v>
      </c>
      <c r="I19" s="94">
        <v>1.8</v>
      </c>
      <c r="J19" s="94">
        <v>8</v>
      </c>
      <c r="K19" s="91"/>
      <c r="L19" s="91"/>
      <c r="M19" s="92">
        <v>4.9</v>
      </c>
      <c r="N19" s="92">
        <v>30.9</v>
      </c>
      <c r="O19" s="100">
        <f>'PLANTATION6-7'!J19</f>
        <v>0</v>
      </c>
      <c r="P19" s="100">
        <f>'PLANTATION6-7'!K19</f>
        <v>0</v>
      </c>
      <c r="Q19" s="91"/>
      <c r="R19" s="91"/>
      <c r="S19" s="91">
        <v>6.7</v>
      </c>
      <c r="T19" s="94"/>
      <c r="U19" s="96">
        <f t="shared" si="0"/>
        <v>323.40000000000003</v>
      </c>
      <c r="V19" s="89">
        <f t="shared" si="1"/>
        <v>3706.4999999999995</v>
      </c>
    </row>
    <row r="20" spans="1:22" ht="12">
      <c r="A20" s="89" t="s">
        <v>29</v>
      </c>
      <c r="B20" s="94">
        <f>'FRUITS6-7'!Z19</f>
        <v>197.4</v>
      </c>
      <c r="C20" s="94">
        <f>'FRUITS6-7'!AA19</f>
        <v>369.09999999999997</v>
      </c>
      <c r="D20" s="94">
        <f>'VEG6-7'!X19</f>
        <v>63.800000000000004</v>
      </c>
      <c r="E20" s="94">
        <f>'VEG6-7'!Y19</f>
        <v>1150.7</v>
      </c>
      <c r="F20" s="100">
        <v>0.6</v>
      </c>
      <c r="G20" s="92">
        <v>3.6</v>
      </c>
      <c r="H20" s="93">
        <v>531</v>
      </c>
      <c r="I20" s="94"/>
      <c r="J20" s="94"/>
      <c r="K20" s="106">
        <v>11.21</v>
      </c>
      <c r="L20" s="106">
        <v>3.27</v>
      </c>
      <c r="M20" s="92">
        <v>6.3</v>
      </c>
      <c r="N20" s="92">
        <v>23.4</v>
      </c>
      <c r="O20" s="100">
        <f>'PLANTATION6-7'!J20</f>
        <v>0</v>
      </c>
      <c r="P20" s="100">
        <f>'PLANTATION6-7'!K20</f>
        <v>0</v>
      </c>
      <c r="Q20" s="91"/>
      <c r="R20" s="91"/>
      <c r="S20" s="91">
        <v>5.3</v>
      </c>
      <c r="T20" s="91"/>
      <c r="U20" s="96">
        <f t="shared" si="0"/>
        <v>279.31</v>
      </c>
      <c r="V20" s="89">
        <f t="shared" si="1"/>
        <v>1555.37</v>
      </c>
    </row>
    <row r="21" spans="1:22" ht="12">
      <c r="A21" s="89" t="s">
        <v>30</v>
      </c>
      <c r="B21" s="94">
        <f>'FRUITS6-7'!Z20</f>
        <v>171.5</v>
      </c>
      <c r="C21" s="94">
        <f>'FRUITS6-7'!AA20</f>
        <v>1321.5000000000002</v>
      </c>
      <c r="D21" s="94">
        <f>'VEG6-7'!X20</f>
        <v>56.800000000000004</v>
      </c>
      <c r="E21" s="94">
        <f>'VEG6-7'!Y20</f>
        <v>1247.7</v>
      </c>
      <c r="F21" s="100">
        <v>0.3</v>
      </c>
      <c r="G21" s="92">
        <v>1.3</v>
      </c>
      <c r="H21" s="93">
        <v>218</v>
      </c>
      <c r="I21" s="94"/>
      <c r="J21" s="94"/>
      <c r="K21" s="94">
        <v>98.4</v>
      </c>
      <c r="L21" s="94">
        <v>130.3</v>
      </c>
      <c r="M21" s="92">
        <v>3.6</v>
      </c>
      <c r="N21" s="92">
        <v>0.6</v>
      </c>
      <c r="O21" s="100">
        <f>'PLANTATION6-7'!J21</f>
        <v>0</v>
      </c>
      <c r="P21" s="100">
        <f>'PLANTATION6-7'!K21</f>
        <v>0</v>
      </c>
      <c r="Q21" s="91"/>
      <c r="R21" s="91"/>
      <c r="S21" s="91">
        <v>0.6</v>
      </c>
      <c r="T21" s="91"/>
      <c r="U21" s="96">
        <f t="shared" si="0"/>
        <v>330.6</v>
      </c>
      <c r="V21" s="89">
        <f t="shared" si="1"/>
        <v>2702.0000000000005</v>
      </c>
    </row>
    <row r="22" spans="1:23" ht="12">
      <c r="A22" s="89" t="s">
        <v>31</v>
      </c>
      <c r="B22" s="94">
        <f>'FRUITS6-7'!Z21</f>
        <v>33</v>
      </c>
      <c r="C22" s="94">
        <f>'FRUITS6-7'!AA21</f>
        <v>382</v>
      </c>
      <c r="D22" s="94">
        <f>'VEG6-7'!X21</f>
        <v>223.70000000000002</v>
      </c>
      <c r="E22" s="94">
        <f>'VEG6-7'!Y21</f>
        <v>3394.8999999999996</v>
      </c>
      <c r="F22" s="100">
        <v>0.2</v>
      </c>
      <c r="G22" s="92">
        <v>0.3</v>
      </c>
      <c r="H22" s="93">
        <v>273</v>
      </c>
      <c r="I22" s="94">
        <v>0.1</v>
      </c>
      <c r="J22" s="94">
        <v>0</v>
      </c>
      <c r="K22" s="91"/>
      <c r="L22" s="91"/>
      <c r="M22" s="92"/>
      <c r="N22" s="92"/>
      <c r="O22" s="100">
        <f>'PLANTATION6-7'!J22</f>
        <v>0</v>
      </c>
      <c r="P22" s="100">
        <f>'PLANTATION6-7'!K22</f>
        <v>0</v>
      </c>
      <c r="Q22" s="91"/>
      <c r="R22" s="91"/>
      <c r="S22" s="91"/>
      <c r="T22" s="91"/>
      <c r="U22" s="96">
        <f t="shared" si="0"/>
        <v>257.00000000000006</v>
      </c>
      <c r="V22" s="89">
        <f t="shared" si="1"/>
        <v>3777.2</v>
      </c>
      <c r="W22" s="104"/>
    </row>
    <row r="23" spans="1:22" ht="12">
      <c r="A23" s="89" t="s">
        <v>32</v>
      </c>
      <c r="B23" s="94">
        <f>'FRUITS6-7'!Z22</f>
        <v>278.29999999999995</v>
      </c>
      <c r="C23" s="94">
        <f>'FRUITS6-7'!AA22</f>
        <v>4735.699999999999</v>
      </c>
      <c r="D23" s="94">
        <f>'VEG6-7'!X22</f>
        <v>412.00000000000006</v>
      </c>
      <c r="E23" s="94">
        <f>'VEG6-7'!Y22</f>
        <v>5478.5</v>
      </c>
      <c r="F23" s="94">
        <v>23</v>
      </c>
      <c r="G23" s="92">
        <v>192.1</v>
      </c>
      <c r="H23" s="93">
        <v>5660</v>
      </c>
      <c r="I23" s="94">
        <v>1.5</v>
      </c>
      <c r="J23" s="94">
        <v>10.2</v>
      </c>
      <c r="K23" s="91"/>
      <c r="L23" s="91"/>
      <c r="M23" s="92">
        <v>236.8</v>
      </c>
      <c r="N23" s="92">
        <v>345.1</v>
      </c>
      <c r="O23" s="100">
        <f>'PLANTATION6-7'!J23</f>
        <v>677.8</v>
      </c>
      <c r="P23" s="100">
        <f>'PLANTATION6-7'!K23</f>
        <v>1396.841076491151</v>
      </c>
      <c r="Q23" s="94"/>
      <c r="R23" s="94"/>
      <c r="S23" s="94"/>
      <c r="T23" s="94"/>
      <c r="U23" s="96">
        <f t="shared" si="0"/>
        <v>1629.3999999999999</v>
      </c>
      <c r="V23" s="89">
        <f t="shared" si="1"/>
        <v>12158.441076491152</v>
      </c>
    </row>
    <row r="24" spans="1:22" ht="12">
      <c r="A24" s="89" t="s">
        <v>33</v>
      </c>
      <c r="B24" s="94">
        <f>'FRUITS6-7'!Z23</f>
        <v>316.9</v>
      </c>
      <c r="C24" s="94">
        <f>'FRUITS6-7'!AA23</f>
        <v>2526.7</v>
      </c>
      <c r="D24" s="94">
        <f>'VEG6-7'!X23</f>
        <v>161</v>
      </c>
      <c r="E24" s="94">
        <f>'VEG6-7'!Y23</f>
        <v>3234.2</v>
      </c>
      <c r="F24" s="94"/>
      <c r="G24" s="92"/>
      <c r="H24" s="93"/>
      <c r="I24" s="94"/>
      <c r="J24" s="94"/>
      <c r="K24" s="91"/>
      <c r="L24" s="91"/>
      <c r="M24" s="92">
        <v>310.2</v>
      </c>
      <c r="N24" s="92">
        <v>168.2</v>
      </c>
      <c r="O24" s="100">
        <f>'PLANTATION6-7'!J24</f>
        <v>1063.2</v>
      </c>
      <c r="P24" s="100">
        <f>'PLANTATION6-7'!K24</f>
        <v>4353.6638628168785</v>
      </c>
      <c r="Q24" s="94"/>
      <c r="R24" s="94"/>
      <c r="S24" s="94"/>
      <c r="T24" s="94"/>
      <c r="U24" s="96">
        <f t="shared" si="0"/>
        <v>1851.3</v>
      </c>
      <c r="V24" s="89">
        <f t="shared" si="1"/>
        <v>10282.763862816879</v>
      </c>
    </row>
    <row r="25" spans="1:22" ht="12">
      <c r="A25" s="89" t="s">
        <v>71</v>
      </c>
      <c r="B25" s="90">
        <f>'FRUITS6-7'!Z24</f>
        <v>0.3</v>
      </c>
      <c r="C25" s="90">
        <f>'FRUITS6-7'!AA24</f>
        <v>1.13</v>
      </c>
      <c r="D25" s="90">
        <f>'VEG6-7'!X24</f>
        <v>0.41600000000000004</v>
      </c>
      <c r="E25" s="90">
        <f>'VEG6-7'!Y24</f>
        <v>13.966000000000001</v>
      </c>
      <c r="F25" s="94"/>
      <c r="G25" s="92"/>
      <c r="H25" s="93"/>
      <c r="I25" s="94"/>
      <c r="J25" s="94"/>
      <c r="K25" s="91"/>
      <c r="L25" s="91"/>
      <c r="M25" s="92"/>
      <c r="N25" s="92"/>
      <c r="O25" s="95">
        <f>'PLANTATION6-7'!J25</f>
        <v>2.7</v>
      </c>
      <c r="P25" s="95">
        <f>'PLANTATION6-7'!K25</f>
        <v>36.47023203324984</v>
      </c>
      <c r="Q25" s="91"/>
      <c r="R25" s="91"/>
      <c r="S25" s="91"/>
      <c r="T25" s="91"/>
      <c r="U25" s="96">
        <f t="shared" si="0"/>
        <v>3.4160000000000004</v>
      </c>
      <c r="V25" s="89">
        <f t="shared" si="1"/>
        <v>51.56623203324985</v>
      </c>
    </row>
    <row r="26" spans="1:22" ht="12">
      <c r="A26" s="89" t="s">
        <v>35</v>
      </c>
      <c r="B26" s="94">
        <f>'FRUITS6-7'!Z25</f>
        <v>47.699999999999996</v>
      </c>
      <c r="C26" s="94">
        <f>'FRUITS6-7'!AA25</f>
        <v>1225.7</v>
      </c>
      <c r="D26" s="94">
        <f>'VEG6-7'!X25</f>
        <v>201.6</v>
      </c>
      <c r="E26" s="94">
        <f>'VEG6-7'!Y25</f>
        <v>2814</v>
      </c>
      <c r="F26" s="91">
        <v>2.5</v>
      </c>
      <c r="G26" s="92">
        <v>1.4</v>
      </c>
      <c r="H26" s="93"/>
      <c r="I26" s="94">
        <v>6.8</v>
      </c>
      <c r="J26" s="94">
        <v>41</v>
      </c>
      <c r="K26" s="91"/>
      <c r="L26" s="91"/>
      <c r="M26" s="92">
        <v>194.6</v>
      </c>
      <c r="N26" s="92">
        <v>249.8</v>
      </c>
      <c r="O26" s="100">
        <f>'PLANTATION6-7'!J26</f>
        <v>0</v>
      </c>
      <c r="P26" s="100">
        <f>'PLANTATION6-7'!K26</f>
        <v>0</v>
      </c>
      <c r="Q26" s="91"/>
      <c r="R26" s="91"/>
      <c r="S26" s="91"/>
      <c r="T26" s="91"/>
      <c r="U26" s="96">
        <f t="shared" si="0"/>
        <v>453.19999999999993</v>
      </c>
      <c r="V26" s="89">
        <f t="shared" si="1"/>
        <v>4331.9</v>
      </c>
    </row>
    <row r="27" spans="1:22" ht="12">
      <c r="A27" s="89" t="s">
        <v>36</v>
      </c>
      <c r="B27" s="94">
        <f>'FRUITS6-7'!Z26</f>
        <v>1394.8999999999999</v>
      </c>
      <c r="C27" s="94">
        <f>'FRUITS6-7'!AA26</f>
        <v>10324.5</v>
      </c>
      <c r="D27" s="94">
        <f>'VEG6-7'!X26</f>
        <v>434</v>
      </c>
      <c r="E27" s="94">
        <f>'VEG6-7'!Y26</f>
        <v>6148</v>
      </c>
      <c r="F27" s="100">
        <v>14.8</v>
      </c>
      <c r="G27" s="92">
        <v>88.9</v>
      </c>
      <c r="H27" s="93">
        <v>4774</v>
      </c>
      <c r="I27" s="94"/>
      <c r="J27" s="94"/>
      <c r="K27" s="100"/>
      <c r="L27" s="100"/>
      <c r="M27" s="92">
        <v>114.3</v>
      </c>
      <c r="N27" s="92">
        <v>100.2</v>
      </c>
      <c r="O27" s="100">
        <f>'PLANTATION6-7'!J27</f>
        <v>187.3</v>
      </c>
      <c r="P27" s="100">
        <f>'PLANTATION6-7'!K27</f>
        <v>321.0893892268311</v>
      </c>
      <c r="Q27" s="94"/>
      <c r="R27" s="94"/>
      <c r="S27" s="94"/>
      <c r="T27" s="94"/>
      <c r="U27" s="96">
        <f t="shared" si="0"/>
        <v>2145.2999999999997</v>
      </c>
      <c r="V27" s="89">
        <f t="shared" si="1"/>
        <v>16982.689389226834</v>
      </c>
    </row>
    <row r="28" spans="1:23" s="107" customFormat="1" ht="12">
      <c r="A28" s="105" t="s">
        <v>37</v>
      </c>
      <c r="B28" s="94">
        <f>'FRUITS6-7'!Z27</f>
        <v>33.9</v>
      </c>
      <c r="C28" s="94">
        <f>'FRUITS6-7'!AA27</f>
        <v>229.10000000000002</v>
      </c>
      <c r="D28" s="90">
        <f>'VEG6-7'!X27</f>
        <v>10.341000000000001</v>
      </c>
      <c r="E28" s="90">
        <f>'VEG6-7'!Y27</f>
        <v>91.767</v>
      </c>
      <c r="F28" s="100">
        <v>0</v>
      </c>
      <c r="G28" s="92">
        <v>0</v>
      </c>
      <c r="H28" s="109"/>
      <c r="I28" s="100"/>
      <c r="J28" s="100"/>
      <c r="K28" s="106"/>
      <c r="L28" s="106"/>
      <c r="M28" s="92">
        <v>8.7</v>
      </c>
      <c r="N28" s="92">
        <v>7.7</v>
      </c>
      <c r="O28" s="100">
        <f>'PLANTATION6-7'!J28</f>
        <v>0</v>
      </c>
      <c r="P28" s="100">
        <f>'PLANTATION6-7'!K28</f>
        <v>0</v>
      </c>
      <c r="Q28" s="106"/>
      <c r="R28" s="106"/>
      <c r="S28" s="106"/>
      <c r="T28" s="106"/>
      <c r="U28" s="96">
        <f t="shared" si="0"/>
        <v>52.941</v>
      </c>
      <c r="V28" s="89">
        <f t="shared" si="1"/>
        <v>328.567</v>
      </c>
      <c r="W28" s="108"/>
    </row>
    <row r="29" spans="1:22" ht="12">
      <c r="A29" s="89" t="s">
        <v>38</v>
      </c>
      <c r="B29" s="94">
        <f>'FRUITS6-7'!Z28</f>
        <v>28.5</v>
      </c>
      <c r="C29" s="94">
        <f>'FRUITS6-7'!AA28</f>
        <v>234.29999999999998</v>
      </c>
      <c r="D29" s="94">
        <f>'VEG6-7'!X28</f>
        <v>42</v>
      </c>
      <c r="E29" s="94">
        <f>'VEG6-7'!Y28</f>
        <v>345.4</v>
      </c>
      <c r="F29" s="100"/>
      <c r="G29" s="92"/>
      <c r="H29" s="109"/>
      <c r="I29" s="94"/>
      <c r="J29" s="94"/>
      <c r="K29" s="91"/>
      <c r="L29" s="91"/>
      <c r="M29" s="92">
        <v>18.5</v>
      </c>
      <c r="N29" s="92">
        <v>83.1</v>
      </c>
      <c r="O29" s="95">
        <f>'PLANTATION6-7'!J29</f>
        <v>12</v>
      </c>
      <c r="P29" s="95">
        <f>'PLANTATION6-7'!K29</f>
        <v>16.6</v>
      </c>
      <c r="Q29" s="94"/>
      <c r="R29" s="94"/>
      <c r="S29" s="94"/>
      <c r="T29" s="94"/>
      <c r="U29" s="96">
        <f t="shared" si="0"/>
        <v>101</v>
      </c>
      <c r="V29" s="89">
        <f t="shared" si="1"/>
        <v>679.4</v>
      </c>
    </row>
    <row r="30" spans="1:22" ht="12">
      <c r="A30" s="89" t="s">
        <v>39</v>
      </c>
      <c r="B30" s="94">
        <f>'FRUITS6-7'!Z29</f>
        <v>20.5</v>
      </c>
      <c r="C30" s="94">
        <f>'FRUITS6-7'!AA29</f>
        <v>179.79999999999998</v>
      </c>
      <c r="D30" s="90">
        <f>'VEG6-7'!X29</f>
        <v>1.68365</v>
      </c>
      <c r="E30" s="90">
        <f>'VEG6-7'!Y29</f>
        <v>31.253999999999998</v>
      </c>
      <c r="F30" s="91">
        <v>0</v>
      </c>
      <c r="G30" s="92">
        <v>0</v>
      </c>
      <c r="H30" s="93">
        <v>31</v>
      </c>
      <c r="I30" s="94"/>
      <c r="J30" s="94"/>
      <c r="K30" s="91"/>
      <c r="L30" s="91"/>
      <c r="M30" s="92">
        <v>9</v>
      </c>
      <c r="N30" s="92">
        <v>38.3</v>
      </c>
      <c r="O30" s="95">
        <f>'PLANTATION6-7'!J30</f>
        <v>2</v>
      </c>
      <c r="P30" s="95">
        <f>'PLANTATION6-7'!K30</f>
        <v>5.3</v>
      </c>
      <c r="Q30" s="94"/>
      <c r="R30" s="94"/>
      <c r="S30" s="94"/>
      <c r="T30" s="94"/>
      <c r="U30" s="96">
        <f t="shared" si="0"/>
        <v>33.18365</v>
      </c>
      <c r="V30" s="89">
        <f t="shared" si="1"/>
        <v>254.654</v>
      </c>
    </row>
    <row r="31" spans="1:23" s="107" customFormat="1" ht="12">
      <c r="A31" s="105" t="s">
        <v>40</v>
      </c>
      <c r="B31" s="90">
        <f>'FRUITS6-7'!Z30</f>
        <v>10.331999999999999</v>
      </c>
      <c r="C31" s="90">
        <f>'FRUITS6-7'!AA30</f>
        <v>31.91</v>
      </c>
      <c r="D31" s="90">
        <f>'VEG6-7'!X30</f>
        <v>9.379</v>
      </c>
      <c r="E31" s="90">
        <f>'VEG6-7'!Y30</f>
        <v>44.593</v>
      </c>
      <c r="F31" s="106">
        <v>0</v>
      </c>
      <c r="G31" s="92">
        <v>0</v>
      </c>
      <c r="H31" s="93">
        <v>0</v>
      </c>
      <c r="I31" s="100"/>
      <c r="J31" s="100"/>
      <c r="K31" s="106"/>
      <c r="L31" s="106"/>
      <c r="M31" s="92">
        <v>4.5</v>
      </c>
      <c r="N31" s="92">
        <v>26.2</v>
      </c>
      <c r="O31" s="95">
        <f>'PLANTATION6-7'!J31</f>
        <v>1.1</v>
      </c>
      <c r="P31" s="95">
        <f>'PLANTATION6-7'!K31</f>
        <v>1.4376235171066032</v>
      </c>
      <c r="Q31" s="106"/>
      <c r="R31" s="106"/>
      <c r="S31" s="106"/>
      <c r="T31" s="106"/>
      <c r="U31" s="96">
        <f t="shared" si="0"/>
        <v>25.311</v>
      </c>
      <c r="V31" s="89">
        <f t="shared" si="1"/>
        <v>104.1406235171066</v>
      </c>
      <c r="W31" s="108"/>
    </row>
    <row r="32" spans="1:23" ht="12">
      <c r="A32" s="89" t="s">
        <v>72</v>
      </c>
      <c r="B32" s="94">
        <f>'FRUITS6-7'!Z31</f>
        <v>255.7</v>
      </c>
      <c r="C32" s="94">
        <f>'FRUITS6-7'!AA31</f>
        <v>1424.9</v>
      </c>
      <c r="D32" s="94">
        <f>'VEG6-7'!X31</f>
        <v>660.0999999999999</v>
      </c>
      <c r="E32" s="94">
        <f>'VEG6-7'!Y31</f>
        <v>8180.3</v>
      </c>
      <c r="F32" s="92">
        <v>0.6</v>
      </c>
      <c r="G32" s="92">
        <v>1.9</v>
      </c>
      <c r="H32" s="93">
        <v>0</v>
      </c>
      <c r="I32" s="94"/>
      <c r="J32" s="94"/>
      <c r="K32" s="91"/>
      <c r="L32" s="91"/>
      <c r="M32" s="92">
        <v>147</v>
      </c>
      <c r="N32" s="92">
        <v>199.2</v>
      </c>
      <c r="O32" s="100">
        <f>'PLANTATION6-7'!J32</f>
        <v>176</v>
      </c>
      <c r="P32" s="100">
        <f>'PLANTATION6-7'!K32</f>
        <v>273.78283009000575</v>
      </c>
      <c r="Q32" s="94"/>
      <c r="R32" s="94"/>
      <c r="S32" s="94"/>
      <c r="T32" s="94"/>
      <c r="U32" s="96">
        <f t="shared" si="0"/>
        <v>1239.4</v>
      </c>
      <c r="V32" s="89">
        <f t="shared" si="1"/>
        <v>10080.082830090007</v>
      </c>
      <c r="W32" s="104"/>
    </row>
    <row r="33" spans="1:23" s="107" customFormat="1" ht="12">
      <c r="A33" s="105" t="s">
        <v>42</v>
      </c>
      <c r="B33" s="90">
        <f>'FRUITS6-7'!Z32</f>
        <v>1.671</v>
      </c>
      <c r="C33" s="90">
        <f>'FRUITS6-7'!AA32</f>
        <v>51.993</v>
      </c>
      <c r="D33" s="90">
        <f>'VEG6-7'!X32</f>
        <v>2.651</v>
      </c>
      <c r="E33" s="90">
        <f>'VEG6-7'!Y32</f>
        <v>54.70099999999999</v>
      </c>
      <c r="F33" s="106">
        <v>0.3</v>
      </c>
      <c r="G33" s="92">
        <v>2.7</v>
      </c>
      <c r="H33" s="93">
        <v>130</v>
      </c>
      <c r="I33" s="100"/>
      <c r="J33" s="100"/>
      <c r="K33" s="106"/>
      <c r="L33" s="106"/>
      <c r="M33" s="92">
        <v>0.1</v>
      </c>
      <c r="N33" s="92">
        <v>0.5</v>
      </c>
      <c r="O33" s="95">
        <f>'PLANTATION6-7'!J33</f>
        <v>7.2</v>
      </c>
      <c r="P33" s="95">
        <f>'PLANTATION6-7'!K33</f>
        <v>15.310812141402069</v>
      </c>
      <c r="Q33" s="106"/>
      <c r="R33" s="106"/>
      <c r="S33" s="106"/>
      <c r="T33" s="106"/>
      <c r="U33" s="96">
        <f t="shared" si="0"/>
        <v>11.922</v>
      </c>
      <c r="V33" s="89">
        <f t="shared" si="1"/>
        <v>125.20481214140206</v>
      </c>
      <c r="W33" s="108"/>
    </row>
    <row r="34" spans="1:22" ht="12">
      <c r="A34" s="89" t="s">
        <v>43</v>
      </c>
      <c r="B34" s="94">
        <f>'FRUITS6-7'!Z33</f>
        <v>57.300000000000004</v>
      </c>
      <c r="C34" s="94">
        <f>'FRUITS6-7'!AA33</f>
        <v>830.5999999999999</v>
      </c>
      <c r="D34" s="94">
        <f>'VEG6-7'!X33</f>
        <v>166.8</v>
      </c>
      <c r="E34" s="94">
        <f>'VEG6-7'!Y33</f>
        <v>2518.2000000000003</v>
      </c>
      <c r="F34" s="94">
        <v>1</v>
      </c>
      <c r="G34" s="92">
        <v>74</v>
      </c>
      <c r="H34" s="93"/>
      <c r="I34" s="94">
        <v>2.4</v>
      </c>
      <c r="J34" s="94">
        <v>1.1</v>
      </c>
      <c r="K34" s="91"/>
      <c r="L34" s="91"/>
      <c r="M34" s="92">
        <v>5.2</v>
      </c>
      <c r="N34" s="92">
        <v>23.7</v>
      </c>
      <c r="O34" s="100">
        <f>'PLANTATION6-7'!J34</f>
        <v>0</v>
      </c>
      <c r="P34" s="100">
        <f>'PLANTATION6-7'!K34</f>
        <v>0</v>
      </c>
      <c r="Q34" s="91"/>
      <c r="R34" s="91"/>
      <c r="S34" s="91">
        <v>20</v>
      </c>
      <c r="T34" s="94"/>
      <c r="U34" s="96">
        <f t="shared" si="0"/>
        <v>232.70000000000002</v>
      </c>
      <c r="V34" s="89">
        <f t="shared" si="1"/>
        <v>3467.6</v>
      </c>
    </row>
    <row r="35" spans="1:22" ht="12">
      <c r="A35" s="89" t="s">
        <v>44</v>
      </c>
      <c r="B35" s="94">
        <f>'FRUITS6-7'!Z34</f>
        <v>27.499999999999996</v>
      </c>
      <c r="C35" s="94">
        <f>'FRUITS6-7'!AA34</f>
        <v>401.90000000000003</v>
      </c>
      <c r="D35" s="94">
        <f>'VEG6-7'!X34</f>
        <v>122.821</v>
      </c>
      <c r="E35" s="94">
        <f>'VEG6-7'!Y34</f>
        <v>788.3330000000001</v>
      </c>
      <c r="F35" s="94">
        <v>2.7</v>
      </c>
      <c r="G35" s="92">
        <v>3.3</v>
      </c>
      <c r="H35" s="93"/>
      <c r="I35" s="94">
        <v>215.8</v>
      </c>
      <c r="J35" s="94">
        <v>83.8</v>
      </c>
      <c r="K35" s="91"/>
      <c r="L35" s="91"/>
      <c r="M35" s="92">
        <v>393.3</v>
      </c>
      <c r="N35" s="92">
        <v>361.4</v>
      </c>
      <c r="O35" s="100">
        <f>'PLANTATION6-7'!J35</f>
        <v>0</v>
      </c>
      <c r="P35" s="100">
        <f>'PLANTATION6-7'!K35</f>
        <v>0</v>
      </c>
      <c r="Q35" s="91"/>
      <c r="R35" s="91"/>
      <c r="S35" s="91">
        <v>0.7</v>
      </c>
      <c r="T35" s="91"/>
      <c r="U35" s="96">
        <f t="shared" si="0"/>
        <v>762.1210000000001</v>
      </c>
      <c r="V35" s="89">
        <f t="shared" si="1"/>
        <v>1639.4330000000002</v>
      </c>
    </row>
    <row r="36" spans="1:22" ht="12">
      <c r="A36" s="89" t="s">
        <v>45</v>
      </c>
      <c r="B36" s="90">
        <f>'FRUITS6-7'!Z35</f>
        <v>9</v>
      </c>
      <c r="C36" s="90">
        <f>'FRUITS6-7'!AA35</f>
        <v>13.41</v>
      </c>
      <c r="D36" s="90">
        <f>'VEG6-7'!X35</f>
        <v>17.839</v>
      </c>
      <c r="E36" s="90">
        <f>'VEG6-7'!Y35</f>
        <v>80.80999999999999</v>
      </c>
      <c r="F36" s="111">
        <v>0.118</v>
      </c>
      <c r="G36" s="92" t="s">
        <v>49</v>
      </c>
      <c r="H36" s="93">
        <v>33.78</v>
      </c>
      <c r="I36" s="94"/>
      <c r="J36" s="94"/>
      <c r="K36" s="91"/>
      <c r="L36" s="91"/>
      <c r="M36" s="92">
        <v>34</v>
      </c>
      <c r="N36" s="92">
        <v>41.9</v>
      </c>
      <c r="O36" s="100">
        <f>'PLANTATION6-7'!J36</f>
        <v>0</v>
      </c>
      <c r="P36" s="100">
        <f>'PLANTATION6-7'!K36</f>
        <v>0</v>
      </c>
      <c r="Q36" s="91"/>
      <c r="R36" s="91"/>
      <c r="S36" s="91"/>
      <c r="T36" s="91"/>
      <c r="U36" s="96">
        <f t="shared" si="0"/>
        <v>60.956999999999994</v>
      </c>
      <c r="V36" s="89" t="e">
        <f t="shared" si="1"/>
        <v>#VALUE!</v>
      </c>
    </row>
    <row r="37" spans="1:22" ht="12">
      <c r="A37" s="89" t="s">
        <v>73</v>
      </c>
      <c r="B37" s="94">
        <f>'FRUITS6-7'!Z36</f>
        <v>278.4</v>
      </c>
      <c r="C37" s="94">
        <f>'FRUITS6-7'!AA36</f>
        <v>6240.9</v>
      </c>
      <c r="D37" s="94">
        <f>'VEG6-7'!X36</f>
        <v>252.9</v>
      </c>
      <c r="E37" s="94">
        <f>'VEG6-7'!Y36</f>
        <v>7070.4</v>
      </c>
      <c r="F37" s="94">
        <v>26.7</v>
      </c>
      <c r="G37" s="92">
        <v>218.1</v>
      </c>
      <c r="H37" s="93"/>
      <c r="I37" s="94">
        <v>6</v>
      </c>
      <c r="J37" s="94">
        <v>8.4</v>
      </c>
      <c r="K37" s="91"/>
      <c r="L37" s="91"/>
      <c r="M37" s="92">
        <v>141.3</v>
      </c>
      <c r="N37" s="92">
        <v>306.2</v>
      </c>
      <c r="O37" s="100">
        <f>'PLANTATION6-7'!J37</f>
        <v>504.5</v>
      </c>
      <c r="P37" s="100">
        <f>'PLANTATION6-7'!K37</f>
        <v>3808.519677685723</v>
      </c>
      <c r="Q37" s="94"/>
      <c r="R37" s="94"/>
      <c r="S37" s="94"/>
      <c r="T37" s="94"/>
      <c r="U37" s="96">
        <f t="shared" si="0"/>
        <v>1209.8</v>
      </c>
      <c r="V37" s="89">
        <f t="shared" si="1"/>
        <v>17652.519677685723</v>
      </c>
    </row>
    <row r="38" spans="1:23" ht="12">
      <c r="A38" s="89" t="s">
        <v>47</v>
      </c>
      <c r="B38" s="94">
        <f>'FRUITS6-7'!Z37</f>
        <v>33.2</v>
      </c>
      <c r="C38" s="94">
        <f>'FRUITS6-7'!AA37</f>
        <v>525.5</v>
      </c>
      <c r="D38" s="94">
        <f>'VEG6-7'!X37</f>
        <v>31.8</v>
      </c>
      <c r="E38" s="94">
        <f>'VEG6-7'!Y37</f>
        <v>415.9</v>
      </c>
      <c r="F38" s="94"/>
      <c r="G38" s="92"/>
      <c r="H38" s="93"/>
      <c r="I38" s="94"/>
      <c r="J38" s="94"/>
      <c r="K38" s="91"/>
      <c r="L38" s="91"/>
      <c r="M38" s="92">
        <v>4.5</v>
      </c>
      <c r="N38" s="92">
        <v>9.4</v>
      </c>
      <c r="O38" s="95">
        <f>'PLANTATION6-7'!J38</f>
        <v>6.7</v>
      </c>
      <c r="P38" s="95">
        <f>'PLANTATION6-7'!K38</f>
        <v>11.716823098731112</v>
      </c>
      <c r="Q38" s="94"/>
      <c r="R38" s="94"/>
      <c r="S38" s="94"/>
      <c r="T38" s="94"/>
      <c r="U38" s="96">
        <f t="shared" si="0"/>
        <v>76.2</v>
      </c>
      <c r="V38" s="89">
        <f t="shared" si="1"/>
        <v>962.516823098731</v>
      </c>
      <c r="W38" s="104" t="s">
        <v>49</v>
      </c>
    </row>
    <row r="39" spans="1:23" ht="12">
      <c r="A39" s="89" t="s">
        <v>48</v>
      </c>
      <c r="B39" s="94">
        <f>'FRUITS6-7'!Z38</f>
        <v>308.5</v>
      </c>
      <c r="C39" s="94">
        <f>'FRUITS6-7'!AA38</f>
        <v>3439.9</v>
      </c>
      <c r="D39" s="94">
        <f>'VEG6-7'!X38</f>
        <v>897.6</v>
      </c>
      <c r="E39" s="94">
        <f>'VEG6-7'!Y38</f>
        <v>18190.4</v>
      </c>
      <c r="F39" s="94">
        <v>8.4</v>
      </c>
      <c r="G39" s="92">
        <v>12.3</v>
      </c>
      <c r="H39" s="93">
        <v>3746</v>
      </c>
      <c r="I39" s="94">
        <v>77.9</v>
      </c>
      <c r="J39" s="94">
        <v>7.8</v>
      </c>
      <c r="K39" s="91"/>
      <c r="L39" s="91"/>
      <c r="M39" s="92">
        <v>56.2</v>
      </c>
      <c r="N39" s="92">
        <v>166.9</v>
      </c>
      <c r="O39" s="100">
        <f>'PLANTATION6-7'!J39</f>
        <v>0</v>
      </c>
      <c r="P39" s="100">
        <f>'PLANTATION6-7'!K39</f>
        <v>0</v>
      </c>
      <c r="Q39" s="91"/>
      <c r="R39" s="91"/>
      <c r="S39" s="91">
        <v>4</v>
      </c>
      <c r="T39" s="91"/>
      <c r="U39" s="96">
        <f t="shared" si="0"/>
        <v>1348.6000000000001</v>
      </c>
      <c r="V39" s="89">
        <f t="shared" si="1"/>
        <v>21821.300000000003</v>
      </c>
      <c r="W39" s="97" t="s">
        <v>49</v>
      </c>
    </row>
    <row r="40" spans="1:23" s="107" customFormat="1" ht="12">
      <c r="A40" s="105" t="s">
        <v>50</v>
      </c>
      <c r="B40" s="94">
        <f>'FRUITS6-7'!Z39</f>
        <v>167.8</v>
      </c>
      <c r="C40" s="94">
        <f>'FRUITS6-7'!AA39</f>
        <v>695.9</v>
      </c>
      <c r="D40" s="94">
        <f>'VEG6-7'!X39</f>
        <v>77.1</v>
      </c>
      <c r="E40" s="94">
        <f>'VEG6-7'!Y39</f>
        <v>995.5000000000001</v>
      </c>
      <c r="F40" s="100">
        <v>0.7</v>
      </c>
      <c r="G40" s="92">
        <v>0.5</v>
      </c>
      <c r="H40" s="93">
        <v>1230</v>
      </c>
      <c r="I40" s="100"/>
      <c r="J40" s="100"/>
      <c r="K40" s="94">
        <v>18.6</v>
      </c>
      <c r="L40" s="94">
        <v>16.3</v>
      </c>
      <c r="M40" s="92">
        <v>3.3</v>
      </c>
      <c r="N40" s="92">
        <v>2.9</v>
      </c>
      <c r="O40" s="100">
        <f>'PLANTATION6-7'!J40</f>
        <v>0</v>
      </c>
      <c r="P40" s="100">
        <f>'PLANTATION6-7'!K40</f>
        <v>0</v>
      </c>
      <c r="Q40" s="106"/>
      <c r="R40" s="106"/>
      <c r="S40" s="106"/>
      <c r="T40" s="106"/>
      <c r="U40" s="96">
        <f t="shared" si="0"/>
        <v>267.5</v>
      </c>
      <c r="V40" s="89">
        <f t="shared" si="1"/>
        <v>1711.1000000000001</v>
      </c>
      <c r="W40" s="107" t="s">
        <v>49</v>
      </c>
    </row>
    <row r="41" spans="1:22" ht="12">
      <c r="A41" s="89" t="s">
        <v>51</v>
      </c>
      <c r="B41" s="94">
        <f>'FRUITS6-7'!Z40</f>
        <v>187.1</v>
      </c>
      <c r="C41" s="94">
        <f>'FRUITS6-7'!AA40</f>
        <v>2640.7</v>
      </c>
      <c r="D41" s="94">
        <f>'VEG6-7'!X40</f>
        <v>1311.6999999999998</v>
      </c>
      <c r="E41" s="94">
        <f>'VEG6-7'!Y40</f>
        <v>17140</v>
      </c>
      <c r="F41" s="94">
        <v>18.6</v>
      </c>
      <c r="G41" s="92">
        <v>43.7</v>
      </c>
      <c r="H41" s="93">
        <v>12966</v>
      </c>
      <c r="I41" s="94"/>
      <c r="J41" s="94"/>
      <c r="K41" s="91"/>
      <c r="L41" s="91"/>
      <c r="M41" s="92">
        <v>79</v>
      </c>
      <c r="N41" s="92">
        <v>114.3</v>
      </c>
      <c r="O41" s="100">
        <f>'PLANTATION6-7'!J41</f>
        <v>45.1</v>
      </c>
      <c r="P41" s="100">
        <f>'PLANTATION6-7'!K41</f>
        <v>287.103024964906</v>
      </c>
      <c r="Q41" s="94"/>
      <c r="R41" s="94"/>
      <c r="S41" s="94"/>
      <c r="T41" s="94"/>
      <c r="U41" s="96">
        <f t="shared" si="0"/>
        <v>1641.4999999999995</v>
      </c>
      <c r="V41" s="89">
        <f t="shared" si="1"/>
        <v>20225.803024964905</v>
      </c>
    </row>
    <row r="42" spans="1:22" s="113" customFormat="1" ht="12">
      <c r="A42" s="89" t="s">
        <v>13</v>
      </c>
      <c r="B42" s="89">
        <f aca="true" t="shared" si="2" ref="B42:S42">SUM(B7:B41)</f>
        <v>5553.7327700000005</v>
      </c>
      <c r="C42" s="89">
        <f t="shared" si="2"/>
        <v>59563.332500000026</v>
      </c>
      <c r="D42" s="89">
        <f t="shared" si="2"/>
        <v>7580.536650000001</v>
      </c>
      <c r="E42" s="89">
        <f t="shared" si="2"/>
        <v>114993.28999999998</v>
      </c>
      <c r="F42" s="89">
        <f t="shared" si="2"/>
        <v>143.918</v>
      </c>
      <c r="G42" s="89">
        <f t="shared" si="2"/>
        <v>880.1999999999999</v>
      </c>
      <c r="H42" s="112">
        <f t="shared" si="2"/>
        <v>37174.78</v>
      </c>
      <c r="I42" s="89">
        <f t="shared" si="2"/>
        <v>324.20000000000005</v>
      </c>
      <c r="J42" s="89">
        <f t="shared" si="2"/>
        <v>178.4</v>
      </c>
      <c r="K42" s="89">
        <f t="shared" si="2"/>
        <v>132.01000000000002</v>
      </c>
      <c r="L42" s="89">
        <f t="shared" si="2"/>
        <v>149.97000000000003</v>
      </c>
      <c r="M42" s="89">
        <f t="shared" si="2"/>
        <v>2447.8</v>
      </c>
      <c r="N42" s="89">
        <f t="shared" si="2"/>
        <v>3953.0999999999995</v>
      </c>
      <c r="O42" s="89">
        <f t="shared" si="2"/>
        <v>3206.8999999999996</v>
      </c>
      <c r="P42" s="89">
        <f t="shared" si="2"/>
        <v>12007.274886348005</v>
      </c>
      <c r="Q42" s="89">
        <f t="shared" si="2"/>
        <v>0</v>
      </c>
      <c r="R42" s="89">
        <f t="shared" si="2"/>
        <v>0</v>
      </c>
      <c r="S42" s="89">
        <f t="shared" si="2"/>
        <v>37.300000000000004</v>
      </c>
      <c r="T42" s="89">
        <v>50.5</v>
      </c>
      <c r="U42" s="96">
        <f t="shared" si="0"/>
        <v>19389.09742</v>
      </c>
      <c r="V42" s="89">
        <f t="shared" si="1"/>
        <v>191813.367386348</v>
      </c>
    </row>
    <row r="43" spans="1:22" ht="12">
      <c r="A43" s="81" t="s">
        <v>85</v>
      </c>
      <c r="B43" s="114"/>
      <c r="C43" s="114"/>
      <c r="D43" s="114"/>
      <c r="E43" s="114"/>
      <c r="F43" s="115"/>
      <c r="G43" s="116"/>
      <c r="H43" s="117"/>
      <c r="I43" s="97"/>
      <c r="J43" s="97"/>
      <c r="K43" s="97"/>
      <c r="N43" s="97" t="s">
        <v>49</v>
      </c>
      <c r="U43" s="113"/>
      <c r="V43" s="113"/>
    </row>
    <row r="44" spans="1:22" ht="12">
      <c r="A44" s="120" t="s">
        <v>86</v>
      </c>
      <c r="B44" s="114"/>
      <c r="C44" s="114"/>
      <c r="D44" s="114"/>
      <c r="E44" s="114"/>
      <c r="F44" s="114"/>
      <c r="G44" s="117"/>
      <c r="H44" s="117"/>
      <c r="I44" s="97"/>
      <c r="J44" s="97"/>
      <c r="K44" s="97"/>
      <c r="V44" s="113"/>
    </row>
    <row r="45" spans="1:11" ht="12">
      <c r="A45" s="120" t="s">
        <v>87</v>
      </c>
      <c r="B45" s="114"/>
      <c r="C45" s="114"/>
      <c r="D45" s="114"/>
      <c r="E45" s="114"/>
      <c r="F45" s="114"/>
      <c r="G45" s="117"/>
      <c r="H45" s="117"/>
      <c r="I45" s="97"/>
      <c r="J45" s="97"/>
      <c r="K45" s="97"/>
    </row>
    <row r="46" spans="1:19" ht="12">
      <c r="A46" s="292" t="s">
        <v>88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</row>
    <row r="47" spans="1:19" ht="12">
      <c r="A47" s="122" t="s">
        <v>89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</row>
    <row r="48" spans="1:19" ht="12">
      <c r="A48" s="122" t="s">
        <v>90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</row>
  </sheetData>
  <sheetProtection/>
  <mergeCells count="13">
    <mergeCell ref="A1:V1"/>
    <mergeCell ref="T2:V2"/>
    <mergeCell ref="T3:V3"/>
    <mergeCell ref="A46:S46"/>
    <mergeCell ref="I4:J4"/>
    <mergeCell ref="B4:C4"/>
    <mergeCell ref="D4:E4"/>
    <mergeCell ref="F4:H4"/>
    <mergeCell ref="G5:H5"/>
    <mergeCell ref="U4:V4"/>
    <mergeCell ref="K4:L4"/>
    <mergeCell ref="M4:N4"/>
    <mergeCell ref="O4:P4"/>
  </mergeCells>
  <printOptions gridLines="1"/>
  <pageMargins left="0.62" right="0.18" top="1.14" bottom="1.16" header="0.47" footer="0.25"/>
  <pageSetup horizontalDpi="300" verticalDpi="300" orientation="landscape" scale="76" r:id="rId1"/>
  <headerFooter alignWithMargins="0">
    <oddHeader>&amp;C&amp;"Arial,Bold"&amp;12&amp;UAnnexure - 2 
&amp;10&amp;U
Statewise Area and Production of Various Horticulture Crops for the Year 2006-07
&amp;R&amp;"Arial,Bold"&amp;8Area in 000' ha
Production in 000'M&amp;10T</oddHeader>
    <oddFooter>&amp;L&amp;F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2"/>
  <sheetViews>
    <sheetView showZeros="0" view="pageBreakPreview" zoomScaleNormal="115" zoomScaleSheetLayoutView="100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B13" sqref="AB13"/>
    </sheetView>
  </sheetViews>
  <sheetFormatPr defaultColWidth="9.140625" defaultRowHeight="12.75"/>
  <cols>
    <col min="1" max="1" width="17.57421875" style="65" customWidth="1"/>
    <col min="2" max="2" width="4.57421875" style="65" customWidth="1"/>
    <col min="3" max="4" width="5.57421875" style="65" customWidth="1"/>
    <col min="5" max="5" width="6.57421875" style="65" customWidth="1"/>
    <col min="6" max="6" width="5.00390625" style="65" customWidth="1"/>
    <col min="7" max="7" width="6.57421875" style="65" customWidth="1"/>
    <col min="8" max="8" width="4.57421875" style="65" customWidth="1"/>
    <col min="9" max="9" width="5.7109375" style="65" customWidth="1"/>
    <col min="10" max="10" width="5.421875" style="65" customWidth="1"/>
    <col min="11" max="11" width="5.7109375" style="65" customWidth="1"/>
    <col min="12" max="12" width="5.00390625" style="65" customWidth="1"/>
    <col min="13" max="14" width="5.57421875" style="65" customWidth="1"/>
    <col min="15" max="15" width="6.7109375" style="65" customWidth="1"/>
    <col min="16" max="16" width="5.140625" style="65" customWidth="1"/>
    <col min="17" max="17" width="5.57421875" style="65" customWidth="1"/>
    <col min="18" max="18" width="5.140625" style="65" customWidth="1"/>
    <col min="19" max="19" width="5.421875" style="65" customWidth="1"/>
    <col min="20" max="20" width="4.57421875" style="65" customWidth="1"/>
    <col min="21" max="21" width="5.28125" style="65" customWidth="1"/>
    <col min="22" max="22" width="5.00390625" style="65" customWidth="1"/>
    <col min="23" max="23" width="6.00390625" style="65" customWidth="1"/>
    <col min="24" max="24" width="6.57421875" style="65" bestFit="1" customWidth="1"/>
    <col min="25" max="25" width="7.421875" style="65" customWidth="1"/>
    <col min="26" max="26" width="7.7109375" style="65" customWidth="1"/>
    <col min="27" max="27" width="6.57421875" style="65" customWidth="1"/>
    <col min="28" max="16384" width="9.140625" style="65" customWidth="1"/>
  </cols>
  <sheetData>
    <row r="1" spans="1:23" s="77" customFormat="1" ht="12">
      <c r="A1" s="298" t="s">
        <v>156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41"/>
    </row>
    <row r="2" spans="1:23" s="77" customFormat="1" ht="12">
      <c r="A2" s="261"/>
      <c r="B2" s="242"/>
      <c r="C2" s="242"/>
      <c r="D2" s="252"/>
      <c r="E2" s="252"/>
      <c r="F2" s="252"/>
      <c r="G2" s="252"/>
      <c r="H2" s="252"/>
      <c r="I2" s="252"/>
      <c r="J2" s="252"/>
      <c r="K2" s="259"/>
      <c r="L2" s="259"/>
      <c r="M2" s="241"/>
      <c r="N2" s="241"/>
      <c r="O2" s="252"/>
      <c r="P2" s="252"/>
      <c r="Q2" s="252"/>
      <c r="R2" s="252"/>
      <c r="S2" s="252"/>
      <c r="T2" s="299" t="s">
        <v>148</v>
      </c>
      <c r="U2" s="299"/>
      <c r="V2" s="299"/>
      <c r="W2" s="241"/>
    </row>
    <row r="3" spans="1:23" s="77" customFormat="1" ht="12">
      <c r="A3" s="261"/>
      <c r="B3" s="242"/>
      <c r="C3" s="242"/>
      <c r="D3" s="252"/>
      <c r="E3" s="252"/>
      <c r="F3" s="252"/>
      <c r="G3" s="252"/>
      <c r="H3" s="252"/>
      <c r="I3" s="252"/>
      <c r="J3" s="252"/>
      <c r="K3" s="259"/>
      <c r="L3" s="259"/>
      <c r="M3" s="241"/>
      <c r="N3" s="241"/>
      <c r="O3" s="252"/>
      <c r="P3" s="252"/>
      <c r="Q3" s="252"/>
      <c r="R3" s="252"/>
      <c r="S3" s="252"/>
      <c r="T3" s="300" t="s">
        <v>149</v>
      </c>
      <c r="U3" s="300"/>
      <c r="V3" s="300"/>
      <c r="W3" s="300"/>
    </row>
    <row r="4" spans="1:27" ht="11.25">
      <c r="A4" s="68" t="s">
        <v>0</v>
      </c>
      <c r="B4" s="295" t="s">
        <v>1</v>
      </c>
      <c r="C4" s="295"/>
      <c r="D4" s="295" t="s">
        <v>2</v>
      </c>
      <c r="E4" s="295"/>
      <c r="F4" s="295" t="s">
        <v>3</v>
      </c>
      <c r="G4" s="295"/>
      <c r="H4" s="295" t="s">
        <v>4</v>
      </c>
      <c r="I4" s="295"/>
      <c r="J4" s="295" t="s">
        <v>5</v>
      </c>
      <c r="K4" s="295"/>
      <c r="L4" s="295" t="s">
        <v>6</v>
      </c>
      <c r="M4" s="295"/>
      <c r="N4" s="295" t="s">
        <v>7</v>
      </c>
      <c r="O4" s="295"/>
      <c r="P4" s="295" t="s">
        <v>8</v>
      </c>
      <c r="Q4" s="295"/>
      <c r="R4" s="295" t="s">
        <v>9</v>
      </c>
      <c r="S4" s="295"/>
      <c r="T4" s="295" t="s">
        <v>10</v>
      </c>
      <c r="U4" s="295"/>
      <c r="V4" s="295" t="s">
        <v>11</v>
      </c>
      <c r="W4" s="295"/>
      <c r="X4" s="295" t="s">
        <v>12</v>
      </c>
      <c r="Y4" s="295"/>
      <c r="Z4" s="295" t="s">
        <v>13</v>
      </c>
      <c r="AA4" s="295"/>
    </row>
    <row r="5" spans="1:27" ht="12.75" customHeight="1">
      <c r="A5" s="68"/>
      <c r="B5" s="69" t="s">
        <v>14</v>
      </c>
      <c r="C5" s="69" t="s">
        <v>15</v>
      </c>
      <c r="D5" s="69" t="s">
        <v>14</v>
      </c>
      <c r="E5" s="69" t="s">
        <v>15</v>
      </c>
      <c r="F5" s="69" t="s">
        <v>14</v>
      </c>
      <c r="G5" s="69" t="s">
        <v>15</v>
      </c>
      <c r="H5" s="69" t="s">
        <v>14</v>
      </c>
      <c r="I5" s="69" t="s">
        <v>15</v>
      </c>
      <c r="J5" s="69" t="s">
        <v>14</v>
      </c>
      <c r="K5" s="69" t="s">
        <v>15</v>
      </c>
      <c r="L5" s="69" t="s">
        <v>14</v>
      </c>
      <c r="M5" s="69" t="s">
        <v>15</v>
      </c>
      <c r="N5" s="69" t="s">
        <v>14</v>
      </c>
      <c r="O5" s="69" t="s">
        <v>15</v>
      </c>
      <c r="P5" s="69" t="s">
        <v>14</v>
      </c>
      <c r="Q5" s="69" t="s">
        <v>15</v>
      </c>
      <c r="R5" s="69" t="s">
        <v>14</v>
      </c>
      <c r="S5" s="69" t="s">
        <v>15</v>
      </c>
      <c r="T5" s="69" t="s">
        <v>14</v>
      </c>
      <c r="U5" s="69" t="s">
        <v>15</v>
      </c>
      <c r="V5" s="69" t="s">
        <v>14</v>
      </c>
      <c r="W5" s="69" t="s">
        <v>15</v>
      </c>
      <c r="X5" s="69" t="s">
        <v>14</v>
      </c>
      <c r="Y5" s="69" t="s">
        <v>15</v>
      </c>
      <c r="Z5" s="69" t="s">
        <v>14</v>
      </c>
      <c r="AA5" s="69" t="s">
        <v>15</v>
      </c>
    </row>
    <row r="6" spans="1:27" ht="11.25">
      <c r="A6" s="55" t="s">
        <v>16</v>
      </c>
      <c r="B6" s="50"/>
      <c r="C6" s="50"/>
      <c r="D6" s="50">
        <v>1.63557</v>
      </c>
      <c r="E6" s="50">
        <v>13.708</v>
      </c>
      <c r="F6" s="50">
        <v>0.299</v>
      </c>
      <c r="G6" s="50">
        <v>1.144</v>
      </c>
      <c r="H6" s="50"/>
      <c r="I6" s="50"/>
      <c r="J6" s="50"/>
      <c r="K6" s="50"/>
      <c r="L6" s="50"/>
      <c r="M6" s="50"/>
      <c r="N6" s="50">
        <v>0.2427</v>
      </c>
      <c r="O6" s="50">
        <v>1.088</v>
      </c>
      <c r="P6" s="50">
        <v>0.369</v>
      </c>
      <c r="Q6" s="50">
        <v>2.775</v>
      </c>
      <c r="R6" s="50">
        <v>0.1255</v>
      </c>
      <c r="S6" s="50">
        <v>1.175</v>
      </c>
      <c r="T6" s="50"/>
      <c r="U6" s="50"/>
      <c r="V6" s="50">
        <v>0.099</v>
      </c>
      <c r="W6" s="50">
        <v>0.9495</v>
      </c>
      <c r="X6" s="50"/>
      <c r="Y6" s="50"/>
      <c r="Z6" s="50">
        <f aca="true" t="shared" si="0" ref="Z6:Z41">B6+D6+F6+H6+J6+L6+N6+P6+R6+T6+V6+X6</f>
        <v>2.77077</v>
      </c>
      <c r="AA6" s="50">
        <f aca="true" t="shared" si="1" ref="AA6:AA41">C6+E6+G6+I6+K6+M6+O6+Q6+S6+U6+W6+Y6</f>
        <v>20.8395</v>
      </c>
    </row>
    <row r="7" spans="1:27" ht="11.25">
      <c r="A7" s="55" t="s">
        <v>17</v>
      </c>
      <c r="B7" s="53">
        <v>0</v>
      </c>
      <c r="C7" s="53">
        <v>0</v>
      </c>
      <c r="D7" s="53">
        <v>72.4</v>
      </c>
      <c r="E7" s="53">
        <v>2173.3</v>
      </c>
      <c r="F7" s="53">
        <v>220</v>
      </c>
      <c r="G7" s="53">
        <v>2997.9</v>
      </c>
      <c r="H7" s="53">
        <v>2.5</v>
      </c>
      <c r="I7" s="53">
        <v>51.8</v>
      </c>
      <c r="J7" s="53">
        <v>9.1</v>
      </c>
      <c r="K7" s="53">
        <v>136.8</v>
      </c>
      <c r="L7" s="53">
        <v>0</v>
      </c>
      <c r="M7" s="53">
        <v>0</v>
      </c>
      <c r="N7" s="53">
        <v>471.4</v>
      </c>
      <c r="O7" s="53">
        <v>3865.2</v>
      </c>
      <c r="P7" s="53">
        <v>12.5</v>
      </c>
      <c r="Q7" s="53">
        <v>978.7</v>
      </c>
      <c r="R7" s="53">
        <v>0</v>
      </c>
      <c r="S7" s="53">
        <v>0</v>
      </c>
      <c r="T7" s="53">
        <v>4.9</v>
      </c>
      <c r="U7" s="53">
        <v>44</v>
      </c>
      <c r="V7" s="53">
        <v>18.1</v>
      </c>
      <c r="W7" s="53">
        <v>181.1</v>
      </c>
      <c r="X7" s="53">
        <v>7.1</v>
      </c>
      <c r="Y7" s="53">
        <v>67.2</v>
      </c>
      <c r="Z7" s="53">
        <f t="shared" si="0"/>
        <v>818</v>
      </c>
      <c r="AA7" s="53">
        <f t="shared" si="1"/>
        <v>10496.000000000002</v>
      </c>
    </row>
    <row r="8" spans="1:27" ht="11.25">
      <c r="A8" s="55" t="s">
        <v>18</v>
      </c>
      <c r="B8" s="53">
        <v>9.8</v>
      </c>
      <c r="C8" s="53">
        <v>9.8</v>
      </c>
      <c r="D8" s="53">
        <v>5.3</v>
      </c>
      <c r="E8" s="53">
        <v>15.3</v>
      </c>
      <c r="F8" s="53">
        <v>25</v>
      </c>
      <c r="G8" s="53">
        <v>28.4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>
        <v>8.3</v>
      </c>
      <c r="S8" s="53">
        <v>37.8</v>
      </c>
      <c r="T8" s="53"/>
      <c r="U8" s="53"/>
      <c r="V8" s="53"/>
      <c r="W8" s="53"/>
      <c r="X8" s="53">
        <v>6.2</v>
      </c>
      <c r="Y8" s="53">
        <v>16.6</v>
      </c>
      <c r="Z8" s="53">
        <f t="shared" si="0"/>
        <v>54.60000000000001</v>
      </c>
      <c r="AA8" s="53">
        <f t="shared" si="1"/>
        <v>107.9</v>
      </c>
    </row>
    <row r="9" spans="1:27" ht="11.25">
      <c r="A9" s="54" t="s">
        <v>19</v>
      </c>
      <c r="B9" s="53">
        <v>0</v>
      </c>
      <c r="C9" s="53">
        <v>0</v>
      </c>
      <c r="D9" s="53">
        <v>43.3</v>
      </c>
      <c r="E9" s="53">
        <v>598.9</v>
      </c>
      <c r="F9" s="53">
        <v>17.9</v>
      </c>
      <c r="G9" s="53">
        <v>176</v>
      </c>
      <c r="H9" s="53">
        <v>0</v>
      </c>
      <c r="I9" s="53">
        <v>0</v>
      </c>
      <c r="J9" s="53">
        <v>4.3</v>
      </c>
      <c r="K9" s="53">
        <v>77.9</v>
      </c>
      <c r="L9" s="53">
        <v>4.7</v>
      </c>
      <c r="M9" s="53">
        <v>33.3</v>
      </c>
      <c r="N9" s="53">
        <v>4.5</v>
      </c>
      <c r="O9" s="53">
        <v>38.9</v>
      </c>
      <c r="P9" s="53">
        <v>6.8</v>
      </c>
      <c r="Q9" s="53">
        <v>105</v>
      </c>
      <c r="R9" s="53">
        <v>12.4</v>
      </c>
      <c r="S9" s="53">
        <v>191.9</v>
      </c>
      <c r="T9" s="53">
        <v>0</v>
      </c>
      <c r="U9" s="53">
        <v>0</v>
      </c>
      <c r="V9" s="53">
        <v>0</v>
      </c>
      <c r="W9" s="53">
        <v>0</v>
      </c>
      <c r="X9" s="53">
        <v>24.6</v>
      </c>
      <c r="Y9" s="53">
        <v>170.4</v>
      </c>
      <c r="Z9" s="53">
        <f t="shared" si="0"/>
        <v>118.5</v>
      </c>
      <c r="AA9" s="53">
        <f t="shared" si="1"/>
        <v>1392.3000000000002</v>
      </c>
    </row>
    <row r="10" spans="1:27" ht="11.25">
      <c r="A10" s="55" t="s">
        <v>20</v>
      </c>
      <c r="B10" s="53">
        <v>0</v>
      </c>
      <c r="C10" s="53">
        <v>0</v>
      </c>
      <c r="D10" s="53">
        <v>29</v>
      </c>
      <c r="E10" s="53">
        <v>1125.1</v>
      </c>
      <c r="F10" s="53">
        <v>17.1</v>
      </c>
      <c r="G10" s="53">
        <v>121.6</v>
      </c>
      <c r="H10" s="53"/>
      <c r="I10" s="53"/>
      <c r="J10" s="53">
        <v>28</v>
      </c>
      <c r="K10" s="53">
        <v>248</v>
      </c>
      <c r="L10" s="53">
        <v>28.8</v>
      </c>
      <c r="M10" s="53">
        <v>211.9</v>
      </c>
      <c r="N10" s="53">
        <v>140.8</v>
      </c>
      <c r="O10" s="53">
        <v>1306.9</v>
      </c>
      <c r="P10" s="53">
        <v>1.1</v>
      </c>
      <c r="Q10" s="53">
        <v>25.3</v>
      </c>
      <c r="R10" s="53">
        <v>4.5</v>
      </c>
      <c r="S10" s="53">
        <v>121.1</v>
      </c>
      <c r="T10" s="53">
        <v>0</v>
      </c>
      <c r="U10" s="53">
        <v>0</v>
      </c>
      <c r="V10" s="53">
        <v>0</v>
      </c>
      <c r="W10" s="53">
        <v>0</v>
      </c>
      <c r="X10" s="53">
        <v>30.2</v>
      </c>
      <c r="Y10" s="53">
        <v>266.6</v>
      </c>
      <c r="Z10" s="53">
        <f t="shared" si="0"/>
        <v>279.5</v>
      </c>
      <c r="AA10" s="53">
        <f t="shared" si="1"/>
        <v>3426.5</v>
      </c>
    </row>
    <row r="11" spans="1:27" ht="11.25">
      <c r="A11" s="70" t="s">
        <v>21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0.2</v>
      </c>
      <c r="H11" s="71">
        <v>0</v>
      </c>
      <c r="I11" s="71">
        <v>0</v>
      </c>
      <c r="J11" s="71">
        <v>0</v>
      </c>
      <c r="K11" s="71">
        <v>0.3</v>
      </c>
      <c r="L11" s="71">
        <v>0</v>
      </c>
      <c r="M11" s="71">
        <v>0.1</v>
      </c>
      <c r="N11" s="71">
        <v>0</v>
      </c>
      <c r="O11" s="71">
        <v>0.4</v>
      </c>
      <c r="P11" s="71">
        <v>0</v>
      </c>
      <c r="Q11" s="71">
        <v>0</v>
      </c>
      <c r="R11" s="71">
        <v>0</v>
      </c>
      <c r="S11" s="71">
        <v>0</v>
      </c>
      <c r="T11" s="71"/>
      <c r="U11" s="71"/>
      <c r="V11" s="71">
        <v>0</v>
      </c>
      <c r="W11" s="71">
        <v>0</v>
      </c>
      <c r="X11" s="71">
        <v>0.1</v>
      </c>
      <c r="Y11" s="71">
        <v>0.1</v>
      </c>
      <c r="Z11" s="50">
        <f t="shared" si="0"/>
        <v>0.1</v>
      </c>
      <c r="AA11" s="50">
        <f t="shared" si="1"/>
        <v>1.1</v>
      </c>
    </row>
    <row r="12" spans="1:27" ht="11.25">
      <c r="A12" s="55" t="s">
        <v>22</v>
      </c>
      <c r="B12" s="53"/>
      <c r="C12" s="53"/>
      <c r="D12" s="53">
        <v>4.9</v>
      </c>
      <c r="E12" s="53">
        <v>152.1</v>
      </c>
      <c r="F12" s="53">
        <v>2.9</v>
      </c>
      <c r="G12" s="53">
        <v>12.2</v>
      </c>
      <c r="H12" s="53">
        <v>0</v>
      </c>
      <c r="I12" s="53">
        <v>0</v>
      </c>
      <c r="J12" s="53">
        <v>15.1</v>
      </c>
      <c r="K12" s="53">
        <v>68.4</v>
      </c>
      <c r="L12" s="53">
        <v>1.4</v>
      </c>
      <c r="M12" s="53">
        <v>3.6</v>
      </c>
      <c r="N12" s="53">
        <v>38.6</v>
      </c>
      <c r="O12" s="53">
        <v>136.4</v>
      </c>
      <c r="P12" s="53">
        <v>4.4</v>
      </c>
      <c r="Q12" s="53">
        <v>136.7</v>
      </c>
      <c r="R12" s="53"/>
      <c r="S12" s="53"/>
      <c r="T12" s="53">
        <v>0.1</v>
      </c>
      <c r="U12" s="53">
        <v>0.6</v>
      </c>
      <c r="V12" s="53">
        <v>0.1</v>
      </c>
      <c r="W12" s="53">
        <v>0.6</v>
      </c>
      <c r="X12" s="53">
        <v>23.2</v>
      </c>
      <c r="Y12" s="53">
        <v>99</v>
      </c>
      <c r="Z12" s="53">
        <f t="shared" si="0"/>
        <v>90.69999999999999</v>
      </c>
      <c r="AA12" s="53">
        <f t="shared" si="1"/>
        <v>609.6</v>
      </c>
    </row>
    <row r="13" spans="1:28" ht="11.25">
      <c r="A13" s="70" t="s">
        <v>23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/>
      <c r="U13" s="71"/>
      <c r="V13" s="71">
        <v>0</v>
      </c>
      <c r="W13" s="71">
        <v>0</v>
      </c>
      <c r="X13" s="71">
        <v>0.7</v>
      </c>
      <c r="Y13" s="71">
        <v>7.1</v>
      </c>
      <c r="Z13" s="50">
        <f t="shared" si="0"/>
        <v>0.7</v>
      </c>
      <c r="AA13" s="50">
        <f t="shared" si="1"/>
        <v>7.1</v>
      </c>
      <c r="AB13" s="72"/>
    </row>
    <row r="14" spans="1:27" ht="11.25">
      <c r="A14" s="70" t="s">
        <v>24</v>
      </c>
      <c r="B14" s="71"/>
      <c r="C14" s="71"/>
      <c r="D14" s="71">
        <v>0.001</v>
      </c>
      <c r="E14" s="71">
        <v>0.015</v>
      </c>
      <c r="F14" s="71"/>
      <c r="G14" s="71"/>
      <c r="H14" s="71"/>
      <c r="I14" s="71"/>
      <c r="J14" s="71">
        <v>0.003</v>
      </c>
      <c r="K14" s="71">
        <v>0.001</v>
      </c>
      <c r="L14" s="71"/>
      <c r="M14" s="71"/>
      <c r="N14" s="71">
        <v>0.001</v>
      </c>
      <c r="O14" s="71">
        <v>0.001</v>
      </c>
      <c r="P14" s="71">
        <v>0.001</v>
      </c>
      <c r="Q14" s="71">
        <v>0.001</v>
      </c>
      <c r="R14" s="71"/>
      <c r="S14" s="71"/>
      <c r="T14" s="71"/>
      <c r="U14" s="71"/>
      <c r="V14" s="71">
        <v>0.009</v>
      </c>
      <c r="W14" s="71">
        <v>0.004</v>
      </c>
      <c r="X14" s="71">
        <v>0.002</v>
      </c>
      <c r="Y14" s="71">
        <v>0.001</v>
      </c>
      <c r="Z14" s="50">
        <f t="shared" si="0"/>
        <v>0.017</v>
      </c>
      <c r="AA14" s="50">
        <f t="shared" si="1"/>
        <v>0.023000000000000003</v>
      </c>
    </row>
    <row r="15" spans="1:27" ht="11.25">
      <c r="A15" s="55" t="s">
        <v>25</v>
      </c>
      <c r="B15" s="50">
        <v>0</v>
      </c>
      <c r="C15" s="50">
        <v>0</v>
      </c>
      <c r="D15" s="50">
        <v>0</v>
      </c>
      <c r="E15" s="50">
        <v>0</v>
      </c>
      <c r="F15" s="50">
        <v>0.018</v>
      </c>
      <c r="G15" s="50">
        <v>0.27</v>
      </c>
      <c r="H15" s="50">
        <v>0</v>
      </c>
      <c r="I15" s="50">
        <v>0</v>
      </c>
      <c r="J15" s="50">
        <v>0.022</v>
      </c>
      <c r="K15" s="50">
        <v>0.432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0.015</v>
      </c>
      <c r="Y15" s="50">
        <v>0.285</v>
      </c>
      <c r="Z15" s="50">
        <f t="shared" si="0"/>
        <v>0.05499999999999999</v>
      </c>
      <c r="AA15" s="50">
        <f t="shared" si="1"/>
        <v>0.9869999999999999</v>
      </c>
    </row>
    <row r="16" spans="1:27" ht="11.25">
      <c r="A16" s="55" t="s">
        <v>26</v>
      </c>
      <c r="B16" s="50"/>
      <c r="C16" s="50"/>
      <c r="D16" s="50">
        <v>2.342</v>
      </c>
      <c r="E16" s="50">
        <v>23.42</v>
      </c>
      <c r="F16" s="50"/>
      <c r="G16" s="50"/>
      <c r="H16" s="50"/>
      <c r="I16" s="50"/>
      <c r="J16" s="50"/>
      <c r="K16" s="50"/>
      <c r="L16" s="50"/>
      <c r="M16" s="50"/>
      <c r="N16" s="50">
        <v>4.414</v>
      </c>
      <c r="O16" s="50">
        <v>19.28</v>
      </c>
      <c r="P16" s="50"/>
      <c r="Q16" s="50"/>
      <c r="R16" s="50">
        <v>0.336</v>
      </c>
      <c r="S16" s="50">
        <v>5.04</v>
      </c>
      <c r="T16" s="50"/>
      <c r="U16" s="50"/>
      <c r="V16" s="50"/>
      <c r="W16" s="50"/>
      <c r="X16" s="50">
        <v>3.695</v>
      </c>
      <c r="Y16" s="50">
        <v>39.8</v>
      </c>
      <c r="Z16" s="50">
        <f t="shared" si="0"/>
        <v>10.787</v>
      </c>
      <c r="AA16" s="50">
        <f t="shared" si="1"/>
        <v>87.53999999999999</v>
      </c>
    </row>
    <row r="17" spans="1:27" ht="11.25">
      <c r="A17" s="55" t="s">
        <v>27</v>
      </c>
      <c r="B17" s="53">
        <v>0</v>
      </c>
      <c r="C17" s="53">
        <v>0</v>
      </c>
      <c r="D17" s="53">
        <v>53.4</v>
      </c>
      <c r="E17" s="53">
        <v>2912.6</v>
      </c>
      <c r="F17" s="53">
        <v>32.7</v>
      </c>
      <c r="G17" s="53">
        <v>327.6</v>
      </c>
      <c r="H17" s="53">
        <v>0</v>
      </c>
      <c r="I17" s="53">
        <v>0</v>
      </c>
      <c r="J17" s="53">
        <v>7.7</v>
      </c>
      <c r="K17" s="53">
        <v>113.7</v>
      </c>
      <c r="L17" s="53">
        <v>0</v>
      </c>
      <c r="M17" s="53">
        <v>0</v>
      </c>
      <c r="N17" s="53">
        <v>102</v>
      </c>
      <c r="O17" s="53">
        <v>834.3</v>
      </c>
      <c r="P17" s="53">
        <v>9.8</v>
      </c>
      <c r="Q17" s="53">
        <v>418.2</v>
      </c>
      <c r="R17" s="53">
        <v>0</v>
      </c>
      <c r="S17" s="53">
        <v>0</v>
      </c>
      <c r="T17" s="53">
        <v>4.6</v>
      </c>
      <c r="U17" s="53">
        <v>50.3</v>
      </c>
      <c r="V17" s="53">
        <v>25.8</v>
      </c>
      <c r="W17" s="53">
        <v>250</v>
      </c>
      <c r="X17" s="53">
        <v>52.3</v>
      </c>
      <c r="Y17" s="53">
        <v>437.7</v>
      </c>
      <c r="Z17" s="53">
        <f t="shared" si="0"/>
        <v>288.3</v>
      </c>
      <c r="AA17" s="53">
        <f t="shared" si="1"/>
        <v>5344.4</v>
      </c>
    </row>
    <row r="18" spans="1:27" ht="11.25">
      <c r="A18" s="55" t="s">
        <v>28</v>
      </c>
      <c r="B18" s="53">
        <v>0</v>
      </c>
      <c r="C18" s="53">
        <v>0</v>
      </c>
      <c r="D18" s="53">
        <v>0</v>
      </c>
      <c r="E18" s="53">
        <v>0</v>
      </c>
      <c r="F18" s="53">
        <v>6.4</v>
      </c>
      <c r="G18" s="53">
        <v>77.4</v>
      </c>
      <c r="H18" s="53">
        <v>0.1</v>
      </c>
      <c r="I18" s="53">
        <v>2.8</v>
      </c>
      <c r="J18" s="53">
        <v>5.3</v>
      </c>
      <c r="K18" s="53">
        <v>39.7</v>
      </c>
      <c r="L18" s="53">
        <v>0.2</v>
      </c>
      <c r="M18" s="53">
        <v>0.7</v>
      </c>
      <c r="N18" s="53">
        <v>8.5</v>
      </c>
      <c r="O18" s="53">
        <v>47.2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0.7</v>
      </c>
      <c r="W18" s="53">
        <v>4</v>
      </c>
      <c r="X18" s="53">
        <v>9.1</v>
      </c>
      <c r="Y18" s="53">
        <v>70.1</v>
      </c>
      <c r="Z18" s="53">
        <f t="shared" si="0"/>
        <v>30.299999999999997</v>
      </c>
      <c r="AA18" s="53">
        <f t="shared" si="1"/>
        <v>241.9</v>
      </c>
    </row>
    <row r="19" spans="1:27" ht="11.25">
      <c r="A19" s="55" t="s">
        <v>29</v>
      </c>
      <c r="B19" s="53">
        <v>91.8</v>
      </c>
      <c r="C19" s="53">
        <v>268.4</v>
      </c>
      <c r="D19" s="53">
        <v>0.1</v>
      </c>
      <c r="E19" s="53">
        <v>0.4</v>
      </c>
      <c r="F19" s="53">
        <v>21.1</v>
      </c>
      <c r="G19" s="53">
        <v>12.7</v>
      </c>
      <c r="H19" s="53">
        <v>0.1</v>
      </c>
      <c r="I19" s="53">
        <v>0.1</v>
      </c>
      <c r="J19" s="53">
        <v>2.2</v>
      </c>
      <c r="K19" s="53">
        <v>2.2</v>
      </c>
      <c r="L19" s="53">
        <v>3.8</v>
      </c>
      <c r="M19" s="53">
        <v>2.8</v>
      </c>
      <c r="N19" s="53">
        <v>38.4</v>
      </c>
      <c r="O19" s="53">
        <v>40.1</v>
      </c>
      <c r="P19" s="53">
        <v>0.2</v>
      </c>
      <c r="Q19" s="53">
        <v>1.2</v>
      </c>
      <c r="R19" s="53"/>
      <c r="S19" s="53">
        <v>0</v>
      </c>
      <c r="T19" s="53">
        <v>0.8</v>
      </c>
      <c r="U19" s="53">
        <v>0.2</v>
      </c>
      <c r="V19" s="53">
        <v>0</v>
      </c>
      <c r="W19" s="53">
        <v>0</v>
      </c>
      <c r="X19" s="53">
        <v>38.9</v>
      </c>
      <c r="Y19" s="53">
        <v>41</v>
      </c>
      <c r="Z19" s="53">
        <f t="shared" si="0"/>
        <v>197.4</v>
      </c>
      <c r="AA19" s="53">
        <f t="shared" si="1"/>
        <v>369.09999999999997</v>
      </c>
    </row>
    <row r="20" spans="1:27" ht="11.25">
      <c r="A20" s="70" t="s">
        <v>30</v>
      </c>
      <c r="B20" s="73">
        <v>119.4</v>
      </c>
      <c r="C20" s="73">
        <v>1222.2</v>
      </c>
      <c r="D20" s="73">
        <v>0</v>
      </c>
      <c r="E20" s="73">
        <v>0</v>
      </c>
      <c r="F20" s="73">
        <v>11</v>
      </c>
      <c r="G20" s="73">
        <v>18.4</v>
      </c>
      <c r="H20" s="73">
        <v>0.2</v>
      </c>
      <c r="I20" s="73">
        <v>0.4</v>
      </c>
      <c r="J20" s="73">
        <v>0</v>
      </c>
      <c r="K20" s="73">
        <v>0</v>
      </c>
      <c r="L20" s="73">
        <v>0</v>
      </c>
      <c r="M20" s="73">
        <v>0</v>
      </c>
      <c r="N20" s="73">
        <v>9.3</v>
      </c>
      <c r="O20" s="73">
        <v>17.6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31.6</v>
      </c>
      <c r="Y20" s="73">
        <v>62.9</v>
      </c>
      <c r="Z20" s="53">
        <f t="shared" si="0"/>
        <v>171.5</v>
      </c>
      <c r="AA20" s="53">
        <f t="shared" si="1"/>
        <v>1321.5000000000002</v>
      </c>
    </row>
    <row r="21" spans="1:27" ht="11.25">
      <c r="A21" s="55" t="s">
        <v>31</v>
      </c>
      <c r="B21" s="53"/>
      <c r="C21" s="53"/>
      <c r="D21" s="53">
        <v>2.6</v>
      </c>
      <c r="E21" s="53">
        <v>51.6</v>
      </c>
      <c r="F21" s="53">
        <v>5.4</v>
      </c>
      <c r="G21" s="53">
        <v>53.8</v>
      </c>
      <c r="H21" s="53"/>
      <c r="I21" s="53"/>
      <c r="J21" s="53">
        <v>5</v>
      </c>
      <c r="K21" s="53">
        <v>60.4</v>
      </c>
      <c r="L21" s="53">
        <v>1.4</v>
      </c>
      <c r="M21" s="53">
        <v>16.5</v>
      </c>
      <c r="N21" s="53">
        <v>7.2</v>
      </c>
      <c r="O21" s="53">
        <v>85.8</v>
      </c>
      <c r="P21" s="53"/>
      <c r="Q21" s="53"/>
      <c r="R21" s="53"/>
      <c r="S21" s="53"/>
      <c r="T21" s="53"/>
      <c r="U21" s="53"/>
      <c r="V21" s="53"/>
      <c r="W21" s="53"/>
      <c r="X21" s="53">
        <v>11.4</v>
      </c>
      <c r="Y21" s="53">
        <v>113.9</v>
      </c>
      <c r="Z21" s="53">
        <f t="shared" si="0"/>
        <v>33</v>
      </c>
      <c r="AA21" s="53">
        <f t="shared" si="1"/>
        <v>382</v>
      </c>
    </row>
    <row r="22" spans="1:27" ht="11.25">
      <c r="A22" s="55" t="s">
        <v>32</v>
      </c>
      <c r="B22" s="53"/>
      <c r="C22" s="53"/>
      <c r="D22" s="53">
        <v>60.8</v>
      </c>
      <c r="E22" s="53">
        <v>1558.5</v>
      </c>
      <c r="F22" s="53">
        <v>12.2</v>
      </c>
      <c r="G22" s="53">
        <v>232</v>
      </c>
      <c r="H22" s="53">
        <v>12.1</v>
      </c>
      <c r="I22" s="53">
        <v>216.6</v>
      </c>
      <c r="J22" s="53">
        <v>6.6</v>
      </c>
      <c r="K22" s="53">
        <v>128.5</v>
      </c>
      <c r="L22" s="53"/>
      <c r="M22" s="53"/>
      <c r="N22" s="53">
        <v>129.1</v>
      </c>
      <c r="O22" s="53">
        <v>1368.8</v>
      </c>
      <c r="P22" s="53">
        <v>4.2</v>
      </c>
      <c r="Q22" s="53">
        <v>314.9</v>
      </c>
      <c r="R22" s="53">
        <v>3.2</v>
      </c>
      <c r="S22" s="53">
        <v>190.5</v>
      </c>
      <c r="T22" s="53">
        <v>12</v>
      </c>
      <c r="U22" s="53">
        <v>129.5</v>
      </c>
      <c r="V22" s="53">
        <v>26</v>
      </c>
      <c r="W22" s="53">
        <v>281.9</v>
      </c>
      <c r="X22" s="53">
        <v>12.1</v>
      </c>
      <c r="Y22" s="53">
        <v>314.5</v>
      </c>
      <c r="Z22" s="53">
        <f t="shared" si="0"/>
        <v>278.29999999999995</v>
      </c>
      <c r="AA22" s="53">
        <f t="shared" si="1"/>
        <v>4735.699999999999</v>
      </c>
    </row>
    <row r="23" spans="1:27" ht="11.25">
      <c r="A23" s="55" t="s">
        <v>33</v>
      </c>
      <c r="B23" s="74">
        <v>0</v>
      </c>
      <c r="C23" s="53">
        <v>0</v>
      </c>
      <c r="D23" s="53">
        <v>59.1</v>
      </c>
      <c r="E23" s="74">
        <v>463.8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76.7</v>
      </c>
      <c r="O23" s="53">
        <v>445.4</v>
      </c>
      <c r="P23" s="53">
        <v>17.7</v>
      </c>
      <c r="Q23" s="53">
        <v>80.5</v>
      </c>
      <c r="R23" s="53">
        <v>12.5</v>
      </c>
      <c r="S23" s="53">
        <v>102.4</v>
      </c>
      <c r="T23" s="53">
        <v>0</v>
      </c>
      <c r="U23" s="53">
        <v>0</v>
      </c>
      <c r="V23" s="53">
        <v>0</v>
      </c>
      <c r="W23" s="53">
        <v>0</v>
      </c>
      <c r="X23" s="53">
        <v>150.9</v>
      </c>
      <c r="Y23" s="53">
        <v>1434.6</v>
      </c>
      <c r="Z23" s="53">
        <f t="shared" si="0"/>
        <v>316.9</v>
      </c>
      <c r="AA23" s="53">
        <f t="shared" si="1"/>
        <v>2526.7</v>
      </c>
    </row>
    <row r="24" spans="1:27" ht="11.25">
      <c r="A24" s="70" t="s">
        <v>34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/>
      <c r="U24" s="71"/>
      <c r="V24" s="71">
        <v>0</v>
      </c>
      <c r="W24" s="71">
        <v>0</v>
      </c>
      <c r="X24" s="71">
        <v>0.3</v>
      </c>
      <c r="Y24" s="71">
        <v>1.13</v>
      </c>
      <c r="Z24" s="50">
        <f t="shared" si="0"/>
        <v>0.3</v>
      </c>
      <c r="AA24" s="50">
        <f t="shared" si="1"/>
        <v>1.13</v>
      </c>
    </row>
    <row r="25" spans="1:27" ht="11.25">
      <c r="A25" s="55" t="s">
        <v>35</v>
      </c>
      <c r="B25" s="53"/>
      <c r="C25" s="53"/>
      <c r="D25" s="53">
        <v>14.9</v>
      </c>
      <c r="E25" s="53">
        <v>773</v>
      </c>
      <c r="F25" s="53">
        <v>17.6</v>
      </c>
      <c r="G25" s="53">
        <v>282</v>
      </c>
      <c r="H25" s="53">
        <v>0.1</v>
      </c>
      <c r="I25" s="53">
        <v>2.7</v>
      </c>
      <c r="J25" s="53">
        <v>2.5</v>
      </c>
      <c r="K25" s="53">
        <v>49</v>
      </c>
      <c r="L25" s="53"/>
      <c r="M25" s="53"/>
      <c r="N25" s="53">
        <v>6.4</v>
      </c>
      <c r="O25" s="53">
        <v>58</v>
      </c>
      <c r="P25" s="53">
        <v>0.8</v>
      </c>
      <c r="Q25" s="53">
        <v>28</v>
      </c>
      <c r="R25" s="53"/>
      <c r="S25" s="53"/>
      <c r="T25" s="53"/>
      <c r="U25" s="53"/>
      <c r="V25" s="53"/>
      <c r="W25" s="53"/>
      <c r="X25" s="53">
        <v>5.4</v>
      </c>
      <c r="Y25" s="53">
        <v>33</v>
      </c>
      <c r="Z25" s="53">
        <f t="shared" si="0"/>
        <v>47.699999999999996</v>
      </c>
      <c r="AA25" s="53">
        <f t="shared" si="1"/>
        <v>1225.7</v>
      </c>
    </row>
    <row r="26" spans="1:27" ht="11.25">
      <c r="A26" s="55" t="s">
        <v>36</v>
      </c>
      <c r="B26" s="53"/>
      <c r="C26" s="53"/>
      <c r="D26" s="53">
        <v>73.4</v>
      </c>
      <c r="E26" s="53">
        <v>4621.9</v>
      </c>
      <c r="F26" s="53">
        <v>252</v>
      </c>
      <c r="G26" s="53">
        <v>1479.7</v>
      </c>
      <c r="H26" s="53">
        <v>45.4</v>
      </c>
      <c r="I26" s="53">
        <v>1284.2</v>
      </c>
      <c r="J26" s="53">
        <v>31.4</v>
      </c>
      <c r="K26" s="53">
        <v>227.8</v>
      </c>
      <c r="L26" s="53"/>
      <c r="M26" s="53"/>
      <c r="N26" s="53">
        <v>447.7</v>
      </c>
      <c r="O26" s="53">
        <v>646.3</v>
      </c>
      <c r="P26" s="53"/>
      <c r="Q26" s="53"/>
      <c r="R26" s="53"/>
      <c r="S26" s="53"/>
      <c r="T26" s="53">
        <v>93.5</v>
      </c>
      <c r="U26" s="53">
        <v>601.5</v>
      </c>
      <c r="V26" s="53">
        <v>63.5</v>
      </c>
      <c r="W26" s="53">
        <v>267.4</v>
      </c>
      <c r="X26" s="53">
        <v>388</v>
      </c>
      <c r="Y26" s="53">
        <v>1195.7</v>
      </c>
      <c r="Z26" s="53">
        <f t="shared" si="0"/>
        <v>1394.8999999999999</v>
      </c>
      <c r="AA26" s="53">
        <f t="shared" si="1"/>
        <v>10324.5</v>
      </c>
    </row>
    <row r="27" spans="1:27" ht="11.25">
      <c r="A27" s="70" t="s">
        <v>37</v>
      </c>
      <c r="B27" s="73"/>
      <c r="C27" s="73"/>
      <c r="D27" s="73">
        <v>3.1</v>
      </c>
      <c r="E27" s="73">
        <v>26.3</v>
      </c>
      <c r="F27" s="73">
        <v>4.7</v>
      </c>
      <c r="G27" s="73">
        <v>36.4</v>
      </c>
      <c r="H27" s="73"/>
      <c r="I27" s="73"/>
      <c r="J27" s="73">
        <v>0</v>
      </c>
      <c r="K27" s="73">
        <v>0</v>
      </c>
      <c r="L27" s="73"/>
      <c r="M27" s="73"/>
      <c r="N27" s="73">
        <v>0</v>
      </c>
      <c r="O27" s="73">
        <v>0</v>
      </c>
      <c r="P27" s="73">
        <v>0</v>
      </c>
      <c r="Q27" s="73">
        <v>0</v>
      </c>
      <c r="R27" s="73">
        <v>12</v>
      </c>
      <c r="S27" s="73">
        <v>100.7</v>
      </c>
      <c r="T27" s="73"/>
      <c r="U27" s="73"/>
      <c r="V27" s="73"/>
      <c r="W27" s="73"/>
      <c r="X27" s="73">
        <v>14.1</v>
      </c>
      <c r="Y27" s="73">
        <v>65.7</v>
      </c>
      <c r="Z27" s="53">
        <f t="shared" si="0"/>
        <v>33.9</v>
      </c>
      <c r="AA27" s="53">
        <f t="shared" si="1"/>
        <v>229.10000000000002</v>
      </c>
    </row>
    <row r="28" spans="1:27" ht="11.25">
      <c r="A28" s="55" t="s">
        <v>38</v>
      </c>
      <c r="B28" s="53">
        <v>0</v>
      </c>
      <c r="C28" s="53">
        <v>0</v>
      </c>
      <c r="D28" s="53">
        <v>5.6</v>
      </c>
      <c r="E28" s="53">
        <v>66.4</v>
      </c>
      <c r="F28" s="53">
        <v>8.3</v>
      </c>
      <c r="G28" s="53">
        <v>34.7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0.7</v>
      </c>
      <c r="Q28" s="53">
        <v>6.1</v>
      </c>
      <c r="R28" s="53">
        <v>9.6</v>
      </c>
      <c r="S28" s="53">
        <v>85</v>
      </c>
      <c r="T28" s="53">
        <v>0</v>
      </c>
      <c r="U28" s="53">
        <v>0</v>
      </c>
      <c r="V28" s="53">
        <v>0</v>
      </c>
      <c r="W28" s="53">
        <v>0</v>
      </c>
      <c r="X28" s="53">
        <v>4.3</v>
      </c>
      <c r="Y28" s="53">
        <v>42.1</v>
      </c>
      <c r="Z28" s="53">
        <f t="shared" si="0"/>
        <v>28.5</v>
      </c>
      <c r="AA28" s="53">
        <f t="shared" si="1"/>
        <v>234.29999999999998</v>
      </c>
    </row>
    <row r="29" spans="1:27" ht="11.25">
      <c r="A29" s="70" t="s">
        <v>39</v>
      </c>
      <c r="B29" s="73">
        <v>0</v>
      </c>
      <c r="C29" s="73">
        <v>0</v>
      </c>
      <c r="D29" s="73">
        <v>5.6</v>
      </c>
      <c r="E29" s="73">
        <v>119.7</v>
      </c>
      <c r="F29" s="73">
        <v>7.8</v>
      </c>
      <c r="G29" s="73">
        <v>34.4</v>
      </c>
      <c r="H29" s="73">
        <v>0.5</v>
      </c>
      <c r="I29" s="73">
        <v>4.2</v>
      </c>
      <c r="J29" s="73"/>
      <c r="K29" s="73"/>
      <c r="L29" s="73"/>
      <c r="M29" s="73"/>
      <c r="N29" s="73"/>
      <c r="O29" s="73"/>
      <c r="P29" s="73">
        <v>0.4</v>
      </c>
      <c r="Q29" s="73">
        <v>5</v>
      </c>
      <c r="R29" s="73">
        <v>0.5</v>
      </c>
      <c r="S29" s="73">
        <v>2.9</v>
      </c>
      <c r="T29" s="73"/>
      <c r="U29" s="73"/>
      <c r="V29" s="73"/>
      <c r="W29" s="73"/>
      <c r="X29" s="73">
        <v>5.7</v>
      </c>
      <c r="Y29" s="73">
        <v>13.6</v>
      </c>
      <c r="Z29" s="53">
        <f t="shared" si="0"/>
        <v>20.5</v>
      </c>
      <c r="AA29" s="53">
        <f t="shared" si="1"/>
        <v>179.79999999999998</v>
      </c>
    </row>
    <row r="30" spans="1:27" ht="11.25">
      <c r="A30" s="70" t="s">
        <v>40</v>
      </c>
      <c r="B30" s="71">
        <v>0.04</v>
      </c>
      <c r="C30" s="71">
        <v>0.015</v>
      </c>
      <c r="D30" s="71">
        <v>1.017</v>
      </c>
      <c r="E30" s="71">
        <v>5</v>
      </c>
      <c r="F30" s="71">
        <v>3.813</v>
      </c>
      <c r="G30" s="71">
        <v>12.4</v>
      </c>
      <c r="H30" s="71">
        <v>0.02</v>
      </c>
      <c r="I30" s="71">
        <v>0.1</v>
      </c>
      <c r="J30" s="71">
        <v>0.278</v>
      </c>
      <c r="K30" s="71">
        <v>2.05</v>
      </c>
      <c r="L30" s="71">
        <v>0.145</v>
      </c>
      <c r="M30" s="71">
        <v>0.06</v>
      </c>
      <c r="N30" s="71">
        <v>0.285</v>
      </c>
      <c r="O30" s="71">
        <v>0.05</v>
      </c>
      <c r="P30" s="71">
        <v>0.68</v>
      </c>
      <c r="Q30" s="71">
        <v>0.68</v>
      </c>
      <c r="R30" s="71">
        <v>2.045</v>
      </c>
      <c r="S30" s="71">
        <v>5</v>
      </c>
      <c r="T30" s="71">
        <v>0.08</v>
      </c>
      <c r="U30" s="71">
        <v>0.05</v>
      </c>
      <c r="V30" s="71"/>
      <c r="W30" s="71"/>
      <c r="X30" s="71">
        <v>1.9289999999999998</v>
      </c>
      <c r="Y30" s="71">
        <v>6.505</v>
      </c>
      <c r="Z30" s="50">
        <f t="shared" si="0"/>
        <v>10.331999999999999</v>
      </c>
      <c r="AA30" s="50">
        <f t="shared" si="1"/>
        <v>31.91</v>
      </c>
    </row>
    <row r="31" spans="1:27" ht="11.25">
      <c r="A31" s="55" t="s">
        <v>41</v>
      </c>
      <c r="B31" s="53">
        <v>0</v>
      </c>
      <c r="C31" s="53">
        <v>0</v>
      </c>
      <c r="D31" s="53">
        <v>22.2</v>
      </c>
      <c r="E31" s="53">
        <v>284.8</v>
      </c>
      <c r="F31" s="53">
        <v>26.5</v>
      </c>
      <c r="G31" s="53">
        <v>206</v>
      </c>
      <c r="H31" s="53">
        <v>0</v>
      </c>
      <c r="I31" s="53">
        <v>0</v>
      </c>
      <c r="J31" s="53">
        <v>14</v>
      </c>
      <c r="K31" s="53">
        <v>89.5</v>
      </c>
      <c r="L31" s="53">
        <v>3.9</v>
      </c>
      <c r="M31" s="53">
        <v>12.1</v>
      </c>
      <c r="N31" s="53">
        <v>140.1</v>
      </c>
      <c r="O31" s="53">
        <v>431.4</v>
      </c>
      <c r="P31" s="53">
        <v>0.8</v>
      </c>
      <c r="Q31" s="53">
        <v>13.9</v>
      </c>
      <c r="R31" s="53">
        <v>0.7</v>
      </c>
      <c r="S31" s="53">
        <v>7.4</v>
      </c>
      <c r="T31" s="53"/>
      <c r="U31" s="53"/>
      <c r="V31" s="53">
        <v>3.3</v>
      </c>
      <c r="W31" s="53">
        <v>14.4</v>
      </c>
      <c r="X31" s="53">
        <v>44.2</v>
      </c>
      <c r="Y31" s="53">
        <v>365.4</v>
      </c>
      <c r="Z31" s="53">
        <f t="shared" si="0"/>
        <v>255.7</v>
      </c>
      <c r="AA31" s="53">
        <f t="shared" si="1"/>
        <v>1424.9</v>
      </c>
    </row>
    <row r="32" spans="1:27" ht="11.25">
      <c r="A32" s="70" t="s">
        <v>42</v>
      </c>
      <c r="B32" s="71">
        <v>0</v>
      </c>
      <c r="C32" s="71">
        <v>0</v>
      </c>
      <c r="D32" s="71">
        <v>0.805</v>
      </c>
      <c r="E32" s="71">
        <v>32.235</v>
      </c>
      <c r="F32" s="71">
        <v>0.021</v>
      </c>
      <c r="G32" s="71">
        <v>2.815</v>
      </c>
      <c r="H32" s="71">
        <v>0</v>
      </c>
      <c r="I32" s="71">
        <v>0</v>
      </c>
      <c r="J32" s="71">
        <v>0.121</v>
      </c>
      <c r="K32" s="71">
        <v>3.956</v>
      </c>
      <c r="L32" s="71">
        <v>0</v>
      </c>
      <c r="M32" s="71">
        <v>0</v>
      </c>
      <c r="N32" s="71">
        <v>0.425</v>
      </c>
      <c r="O32" s="71">
        <v>12.05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0.105</v>
      </c>
      <c r="W32" s="71">
        <v>0.337</v>
      </c>
      <c r="X32" s="71">
        <v>0.194</v>
      </c>
      <c r="Y32" s="71">
        <v>0.6</v>
      </c>
      <c r="Z32" s="50">
        <f t="shared" si="0"/>
        <v>1.671</v>
      </c>
      <c r="AA32" s="50">
        <f t="shared" si="1"/>
        <v>51.993</v>
      </c>
    </row>
    <row r="33" spans="1:27" ht="11.25">
      <c r="A33" s="55" t="s">
        <v>43</v>
      </c>
      <c r="B33" s="53"/>
      <c r="C33" s="53"/>
      <c r="D33" s="53"/>
      <c r="E33" s="53"/>
      <c r="F33" s="53">
        <v>31</v>
      </c>
      <c r="G33" s="53">
        <v>437.7</v>
      </c>
      <c r="H33" s="53">
        <v>1.1</v>
      </c>
      <c r="I33" s="53">
        <v>30.7</v>
      </c>
      <c r="J33" s="53">
        <v>8.1</v>
      </c>
      <c r="K33" s="53">
        <v>142.2</v>
      </c>
      <c r="L33" s="53">
        <v>1.5</v>
      </c>
      <c r="M33" s="53">
        <v>14.6</v>
      </c>
      <c r="N33" s="53">
        <v>6.5</v>
      </c>
      <c r="O33" s="53">
        <v>64.5</v>
      </c>
      <c r="P33" s="53"/>
      <c r="Q33" s="53"/>
      <c r="R33" s="53"/>
      <c r="S33" s="53"/>
      <c r="T33" s="53"/>
      <c r="U33" s="53"/>
      <c r="V33" s="53"/>
      <c r="W33" s="53"/>
      <c r="X33" s="53">
        <v>9.1</v>
      </c>
      <c r="Y33" s="53">
        <v>140.9</v>
      </c>
      <c r="Z33" s="53">
        <f t="shared" si="0"/>
        <v>57.300000000000004</v>
      </c>
      <c r="AA33" s="53">
        <f t="shared" si="1"/>
        <v>830.5999999999999</v>
      </c>
    </row>
    <row r="34" spans="1:27" ht="11.25">
      <c r="A34" s="55" t="s">
        <v>44</v>
      </c>
      <c r="B34" s="53">
        <v>0</v>
      </c>
      <c r="C34" s="53">
        <v>0</v>
      </c>
      <c r="D34" s="53">
        <v>0</v>
      </c>
      <c r="E34" s="53">
        <v>1.3</v>
      </c>
      <c r="F34" s="53">
        <v>14.4</v>
      </c>
      <c r="G34" s="53">
        <v>253.4</v>
      </c>
      <c r="H34" s="53">
        <v>0</v>
      </c>
      <c r="I34" s="53">
        <v>0.1</v>
      </c>
      <c r="J34" s="53">
        <v>1.9</v>
      </c>
      <c r="K34" s="53">
        <v>24.7</v>
      </c>
      <c r="L34" s="53">
        <v>0</v>
      </c>
      <c r="M34" s="53">
        <v>0</v>
      </c>
      <c r="N34" s="53">
        <v>6.5</v>
      </c>
      <c r="O34" s="53">
        <v>82</v>
      </c>
      <c r="P34" s="53">
        <v>0.4</v>
      </c>
      <c r="Q34" s="53">
        <v>5.8</v>
      </c>
      <c r="R34" s="53">
        <v>0</v>
      </c>
      <c r="S34" s="53">
        <v>0</v>
      </c>
      <c r="T34" s="53">
        <v>0.4</v>
      </c>
      <c r="U34" s="53">
        <v>1.6</v>
      </c>
      <c r="V34" s="53">
        <v>0</v>
      </c>
      <c r="W34" s="53">
        <v>0</v>
      </c>
      <c r="X34" s="53">
        <v>3.9</v>
      </c>
      <c r="Y34" s="53">
        <v>33</v>
      </c>
      <c r="Z34" s="53">
        <f t="shared" si="0"/>
        <v>27.499999999999996</v>
      </c>
      <c r="AA34" s="53">
        <f t="shared" si="1"/>
        <v>401.90000000000003</v>
      </c>
    </row>
    <row r="35" spans="1:27" ht="12" customHeight="1">
      <c r="A35" s="55" t="s">
        <v>45</v>
      </c>
      <c r="B35" s="50"/>
      <c r="C35" s="50"/>
      <c r="D35" s="50"/>
      <c r="E35" s="50"/>
      <c r="F35" s="50">
        <v>5.55</v>
      </c>
      <c r="G35" s="50">
        <v>9.25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>
        <v>3.45</v>
      </c>
      <c r="Y35" s="50">
        <v>4.16</v>
      </c>
      <c r="Z35" s="50">
        <f t="shared" si="0"/>
        <v>9</v>
      </c>
      <c r="AA35" s="50">
        <f t="shared" si="1"/>
        <v>13.41</v>
      </c>
    </row>
    <row r="36" spans="1:27" ht="12" customHeight="1">
      <c r="A36" s="70" t="s">
        <v>46</v>
      </c>
      <c r="B36" s="73"/>
      <c r="C36" s="73"/>
      <c r="D36" s="75">
        <v>102.2</v>
      </c>
      <c r="E36" s="75">
        <v>5019.4</v>
      </c>
      <c r="F36" s="73">
        <v>11.7</v>
      </c>
      <c r="G36" s="73">
        <v>42.4</v>
      </c>
      <c r="H36" s="73">
        <v>2.8</v>
      </c>
      <c r="I36" s="73">
        <v>91.6</v>
      </c>
      <c r="J36" s="73">
        <v>9.1</v>
      </c>
      <c r="K36" s="73">
        <v>99.5</v>
      </c>
      <c r="L36" s="73">
        <v>0</v>
      </c>
      <c r="M36" s="73">
        <v>0.1</v>
      </c>
      <c r="N36" s="73">
        <v>135.1</v>
      </c>
      <c r="O36" s="73">
        <v>580.8</v>
      </c>
      <c r="P36" s="73">
        <v>0.3</v>
      </c>
      <c r="Q36" s="73">
        <v>58</v>
      </c>
      <c r="R36" s="73">
        <v>0.7</v>
      </c>
      <c r="S36" s="73">
        <v>23.4</v>
      </c>
      <c r="T36" s="73">
        <v>0.5</v>
      </c>
      <c r="U36" s="73">
        <v>11.9</v>
      </c>
      <c r="V36" s="73">
        <v>6.5</v>
      </c>
      <c r="W36" s="73">
        <v>162.3</v>
      </c>
      <c r="X36" s="73">
        <v>9.5</v>
      </c>
      <c r="Y36" s="73">
        <v>151.5</v>
      </c>
      <c r="Z36" s="53">
        <f t="shared" si="0"/>
        <v>278.4</v>
      </c>
      <c r="AA36" s="53">
        <f t="shared" si="1"/>
        <v>6240.9</v>
      </c>
    </row>
    <row r="37" spans="1:27" s="77" customFormat="1" ht="12" customHeight="1">
      <c r="A37" s="76" t="s">
        <v>47</v>
      </c>
      <c r="B37" s="62"/>
      <c r="C37" s="62"/>
      <c r="D37" s="62">
        <v>6.2</v>
      </c>
      <c r="E37" s="62">
        <v>80.2</v>
      </c>
      <c r="F37" s="62">
        <v>4.9</v>
      </c>
      <c r="G37" s="62">
        <v>30.6</v>
      </c>
      <c r="H37" s="62"/>
      <c r="I37" s="62"/>
      <c r="J37" s="62">
        <v>0.3</v>
      </c>
      <c r="K37" s="62">
        <v>1.5</v>
      </c>
      <c r="L37" s="62">
        <v>2.5</v>
      </c>
      <c r="M37" s="62">
        <v>14.4</v>
      </c>
      <c r="N37" s="62">
        <v>3.7</v>
      </c>
      <c r="O37" s="62">
        <v>11.4</v>
      </c>
      <c r="P37" s="62">
        <v>1</v>
      </c>
      <c r="Q37" s="62">
        <v>10</v>
      </c>
      <c r="R37" s="62">
        <v>6.2</v>
      </c>
      <c r="S37" s="62">
        <v>115.8</v>
      </c>
      <c r="T37" s="62"/>
      <c r="U37" s="62"/>
      <c r="V37" s="62">
        <v>0.1</v>
      </c>
      <c r="W37" s="62">
        <v>1.4</v>
      </c>
      <c r="X37" s="62">
        <v>8.3</v>
      </c>
      <c r="Y37" s="62">
        <v>260.2</v>
      </c>
      <c r="Z37" s="53">
        <f t="shared" si="0"/>
        <v>33.2</v>
      </c>
      <c r="AA37" s="53">
        <f t="shared" si="1"/>
        <v>525.5</v>
      </c>
    </row>
    <row r="38" spans="1:27" ht="11.25">
      <c r="A38" s="55" t="s">
        <v>48</v>
      </c>
      <c r="B38" s="53">
        <v>0</v>
      </c>
      <c r="C38" s="53">
        <v>0</v>
      </c>
      <c r="D38" s="53">
        <v>2.4</v>
      </c>
      <c r="E38" s="53">
        <v>76.9</v>
      </c>
      <c r="F38" s="53">
        <v>0.6</v>
      </c>
      <c r="G38" s="53">
        <v>1.4</v>
      </c>
      <c r="H38" s="53">
        <v>0</v>
      </c>
      <c r="I38" s="53">
        <v>0</v>
      </c>
      <c r="J38" s="53">
        <v>14</v>
      </c>
      <c r="K38" s="53">
        <v>165.1</v>
      </c>
      <c r="L38" s="53">
        <v>0.3</v>
      </c>
      <c r="M38" s="53">
        <v>0.8</v>
      </c>
      <c r="N38" s="53">
        <v>261.4</v>
      </c>
      <c r="O38" s="53">
        <v>2980.5</v>
      </c>
      <c r="P38" s="53">
        <v>0.2</v>
      </c>
      <c r="Q38" s="53">
        <v>14.4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29.6</v>
      </c>
      <c r="Y38" s="53">
        <v>200.8</v>
      </c>
      <c r="Z38" s="53">
        <f t="shared" si="0"/>
        <v>308.5</v>
      </c>
      <c r="AA38" s="53">
        <f t="shared" si="1"/>
        <v>3439.9</v>
      </c>
    </row>
    <row r="39" spans="1:27" ht="11.25">
      <c r="A39" s="55" t="s">
        <v>50</v>
      </c>
      <c r="B39" s="53">
        <v>30.6</v>
      </c>
      <c r="C39" s="53">
        <v>123.3</v>
      </c>
      <c r="D39" s="53">
        <v>0</v>
      </c>
      <c r="E39" s="53">
        <v>0</v>
      </c>
      <c r="F39" s="53">
        <v>26.4</v>
      </c>
      <c r="G39" s="53">
        <v>125</v>
      </c>
      <c r="H39" s="53"/>
      <c r="I39" s="53"/>
      <c r="J39" s="53"/>
      <c r="K39" s="53"/>
      <c r="L39" s="53">
        <v>8.4</v>
      </c>
      <c r="M39" s="53">
        <v>14.4</v>
      </c>
      <c r="N39" s="53">
        <v>36.4</v>
      </c>
      <c r="O39" s="53">
        <v>109.8</v>
      </c>
      <c r="P39" s="53"/>
      <c r="Q39" s="53"/>
      <c r="R39" s="53"/>
      <c r="S39" s="53"/>
      <c r="T39" s="53"/>
      <c r="U39" s="53"/>
      <c r="V39" s="53"/>
      <c r="W39" s="53"/>
      <c r="X39" s="53">
        <v>66</v>
      </c>
      <c r="Y39" s="53">
        <v>323.4</v>
      </c>
      <c r="Z39" s="53">
        <f t="shared" si="0"/>
        <v>167.8</v>
      </c>
      <c r="AA39" s="53">
        <f t="shared" si="1"/>
        <v>695.9</v>
      </c>
    </row>
    <row r="40" spans="1:27" ht="11.25">
      <c r="A40" s="55" t="s">
        <v>51</v>
      </c>
      <c r="B40" s="53">
        <v>0</v>
      </c>
      <c r="C40" s="53">
        <v>0</v>
      </c>
      <c r="D40" s="53">
        <v>31.7</v>
      </c>
      <c r="E40" s="53">
        <v>802.1</v>
      </c>
      <c r="F40" s="53">
        <v>10.8</v>
      </c>
      <c r="G40" s="53">
        <v>97.4</v>
      </c>
      <c r="H40" s="53">
        <v>0</v>
      </c>
      <c r="I40" s="53">
        <v>0</v>
      </c>
      <c r="J40" s="53">
        <v>10.8</v>
      </c>
      <c r="K40" s="53">
        <v>149</v>
      </c>
      <c r="L40" s="53">
        <v>8.1</v>
      </c>
      <c r="M40" s="53">
        <v>77.2</v>
      </c>
      <c r="N40" s="53">
        <v>78.2</v>
      </c>
      <c r="O40" s="53">
        <v>549.8</v>
      </c>
      <c r="P40" s="53">
        <v>9.9</v>
      </c>
      <c r="Q40" s="53">
        <v>277</v>
      </c>
      <c r="R40" s="53">
        <v>13.4</v>
      </c>
      <c r="S40" s="53">
        <v>372.1</v>
      </c>
      <c r="T40" s="53">
        <v>0</v>
      </c>
      <c r="U40" s="53">
        <v>0</v>
      </c>
      <c r="V40" s="53">
        <v>4.2</v>
      </c>
      <c r="W40" s="53">
        <v>51.4</v>
      </c>
      <c r="X40" s="53">
        <v>20</v>
      </c>
      <c r="Y40" s="53">
        <v>264.7</v>
      </c>
      <c r="Z40" s="53">
        <f t="shared" si="0"/>
        <v>187.1</v>
      </c>
      <c r="AA40" s="53">
        <f t="shared" si="1"/>
        <v>2640.7</v>
      </c>
    </row>
    <row r="41" spans="1:27" ht="11.25">
      <c r="A41" s="55" t="s">
        <v>13</v>
      </c>
      <c r="B41" s="54">
        <f aca="true" t="shared" si="2" ref="B41:Y41">SUM(B6:B40)</f>
        <v>251.64</v>
      </c>
      <c r="C41" s="54">
        <f t="shared" si="2"/>
        <v>1623.7150000000001</v>
      </c>
      <c r="D41" s="54">
        <f t="shared" si="2"/>
        <v>604.0005700000002</v>
      </c>
      <c r="E41" s="54">
        <f t="shared" si="2"/>
        <v>20997.978</v>
      </c>
      <c r="F41" s="54">
        <f t="shared" si="2"/>
        <v>798.1009999999998</v>
      </c>
      <c r="G41" s="54">
        <f t="shared" si="2"/>
        <v>7145.178999999996</v>
      </c>
      <c r="H41" s="54">
        <f t="shared" si="2"/>
        <v>64.92</v>
      </c>
      <c r="I41" s="54">
        <f t="shared" si="2"/>
        <v>1685.2999999999997</v>
      </c>
      <c r="J41" s="54">
        <f t="shared" si="2"/>
        <v>175.824</v>
      </c>
      <c r="K41" s="54">
        <f t="shared" si="2"/>
        <v>1830.6390000000001</v>
      </c>
      <c r="L41" s="54">
        <f t="shared" si="2"/>
        <v>65.145</v>
      </c>
      <c r="M41" s="54">
        <f t="shared" si="2"/>
        <v>402.56</v>
      </c>
      <c r="N41" s="54">
        <f t="shared" si="2"/>
        <v>2153.8677</v>
      </c>
      <c r="O41" s="54">
        <f t="shared" si="2"/>
        <v>13733.968999999996</v>
      </c>
      <c r="P41" s="54">
        <f t="shared" si="2"/>
        <v>72.25</v>
      </c>
      <c r="Q41" s="54">
        <f t="shared" si="2"/>
        <v>2482.156</v>
      </c>
      <c r="R41" s="54">
        <f t="shared" si="2"/>
        <v>86.50650000000002</v>
      </c>
      <c r="S41" s="54">
        <f t="shared" si="2"/>
        <v>1362.2150000000001</v>
      </c>
      <c r="T41" s="54">
        <f t="shared" si="2"/>
        <v>116.88000000000001</v>
      </c>
      <c r="U41" s="54">
        <f t="shared" si="2"/>
        <v>839.65</v>
      </c>
      <c r="V41" s="54">
        <f t="shared" si="2"/>
        <v>148.51299999999998</v>
      </c>
      <c r="W41" s="54">
        <f t="shared" si="2"/>
        <v>1215.7905</v>
      </c>
      <c r="X41" s="54">
        <f t="shared" si="2"/>
        <v>1016.0849999999999</v>
      </c>
      <c r="Y41" s="54">
        <f t="shared" si="2"/>
        <v>6244.181</v>
      </c>
      <c r="Z41" s="53">
        <f t="shared" si="0"/>
        <v>5553.7327700000005</v>
      </c>
      <c r="AA41" s="53">
        <f t="shared" si="1"/>
        <v>59563.3325</v>
      </c>
    </row>
    <row r="42" spans="26:27" ht="11.25">
      <c r="Z42" s="54">
        <f>SUM(Z6:Z40)</f>
        <v>5553.7327700000005</v>
      </c>
      <c r="AA42" s="54">
        <f>SUM(AA6:AA40)</f>
        <v>59563.332500000026</v>
      </c>
    </row>
  </sheetData>
  <sheetProtection/>
  <mergeCells count="16">
    <mergeCell ref="A1:V1"/>
    <mergeCell ref="T2:V2"/>
    <mergeCell ref="T3:W3"/>
    <mergeCell ref="Z4:AA4"/>
    <mergeCell ref="N4:O4"/>
    <mergeCell ref="P4:Q4"/>
    <mergeCell ref="R4:S4"/>
    <mergeCell ref="T4:U4"/>
    <mergeCell ref="V4:W4"/>
    <mergeCell ref="X4:Y4"/>
    <mergeCell ref="J4:K4"/>
    <mergeCell ref="L4:M4"/>
    <mergeCell ref="B4:C4"/>
    <mergeCell ref="D4:E4"/>
    <mergeCell ref="F4:G4"/>
    <mergeCell ref="H4:I4"/>
  </mergeCells>
  <printOptions/>
  <pageMargins left="0.16" right="0.16" top="0.9" bottom="0.47" header="0.41" footer="0.2"/>
  <pageSetup horizontalDpi="600" verticalDpi="600" orientation="landscape" scale="80" r:id="rId1"/>
  <headerFooter alignWithMargins="0">
    <oddHeader>&amp;CStatewise Area &amp; Production of Fruits for the Year 2006-07&amp;R&amp;"Arial,Bold"&amp;8Area '000' HA
Production '000' MT</oddHeader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Zeros="0" view="pageBreakPreview" zoomScaleSheetLayoutView="100" zoomScalePageLayoutView="0" workbookViewId="0" topLeftCell="A1">
      <selection activeCell="A1" sqref="A1:V1"/>
    </sheetView>
  </sheetViews>
  <sheetFormatPr defaultColWidth="9.140625" defaultRowHeight="12.75"/>
  <cols>
    <col min="1" max="1" width="18.57421875" style="65" customWidth="1"/>
    <col min="2" max="2" width="4.7109375" style="65" customWidth="1"/>
    <col min="3" max="3" width="5.7109375" style="65" customWidth="1"/>
    <col min="4" max="4" width="5.28125" style="65" customWidth="1"/>
    <col min="5" max="5" width="6.28125" style="65" customWidth="1"/>
    <col min="6" max="6" width="5.421875" style="65" customWidth="1"/>
    <col min="7" max="7" width="6.00390625" style="65" customWidth="1"/>
    <col min="8" max="8" width="4.8515625" style="65" customWidth="1"/>
    <col min="9" max="12" width="6.00390625" style="65" customWidth="1"/>
    <col min="13" max="13" width="6.8515625" style="65" customWidth="1"/>
    <col min="14" max="14" width="5.57421875" style="65" customWidth="1"/>
    <col min="15" max="15" width="6.28125" style="65" customWidth="1"/>
    <col min="16" max="16" width="6.00390625" style="65" customWidth="1"/>
    <col min="17" max="17" width="6.28125" style="65" customWidth="1"/>
    <col min="18" max="18" width="5.00390625" style="65" customWidth="1"/>
    <col min="19" max="19" width="5.7109375" style="65" customWidth="1"/>
    <col min="20" max="20" width="4.7109375" style="65" customWidth="1"/>
    <col min="21" max="22" width="6.00390625" style="65" customWidth="1"/>
    <col min="23" max="23" width="6.421875" style="65" customWidth="1"/>
    <col min="24" max="24" width="6.421875" style="66" customWidth="1"/>
    <col min="25" max="25" width="7.421875" style="66" customWidth="1"/>
    <col min="26" max="16384" width="9.140625" style="42" customWidth="1"/>
  </cols>
  <sheetData>
    <row r="1" spans="1:23" ht="12.75">
      <c r="A1" s="298" t="s">
        <v>157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41"/>
    </row>
    <row r="2" spans="1:23" ht="12.75">
      <c r="A2" s="261"/>
      <c r="B2" s="242"/>
      <c r="C2" s="242"/>
      <c r="D2" s="252"/>
      <c r="E2" s="252"/>
      <c r="F2" s="252"/>
      <c r="G2" s="252"/>
      <c r="H2" s="252"/>
      <c r="I2" s="252"/>
      <c r="J2" s="252"/>
      <c r="K2" s="259"/>
      <c r="L2" s="259"/>
      <c r="M2" s="241"/>
      <c r="N2" s="241"/>
      <c r="O2" s="252"/>
      <c r="P2" s="252"/>
      <c r="Q2" s="252"/>
      <c r="R2" s="252"/>
      <c r="S2" s="252"/>
      <c r="T2" s="299" t="s">
        <v>148</v>
      </c>
      <c r="U2" s="299"/>
      <c r="V2" s="299"/>
      <c r="W2" s="241"/>
    </row>
    <row r="3" spans="1:23" ht="12.75">
      <c r="A3" s="261"/>
      <c r="B3" s="242"/>
      <c r="C3" s="242"/>
      <c r="D3" s="252"/>
      <c r="E3" s="252"/>
      <c r="F3" s="252"/>
      <c r="G3" s="252"/>
      <c r="H3" s="252"/>
      <c r="I3" s="252"/>
      <c r="J3" s="252"/>
      <c r="K3" s="259"/>
      <c r="L3" s="259"/>
      <c r="M3" s="241"/>
      <c r="N3" s="241"/>
      <c r="O3" s="252"/>
      <c r="P3" s="252"/>
      <c r="Q3" s="252"/>
      <c r="R3" s="252"/>
      <c r="S3" s="252"/>
      <c r="T3" s="300" t="s">
        <v>149</v>
      </c>
      <c r="U3" s="300"/>
      <c r="V3" s="300"/>
      <c r="W3" s="300"/>
    </row>
    <row r="4" spans="1:25" ht="12.75">
      <c r="A4" s="47" t="s">
        <v>0</v>
      </c>
      <c r="B4" s="296" t="s">
        <v>52</v>
      </c>
      <c r="C4" s="296"/>
      <c r="D4" s="296" t="s">
        <v>53</v>
      </c>
      <c r="E4" s="296"/>
      <c r="F4" s="296" t="s">
        <v>54</v>
      </c>
      <c r="G4" s="296"/>
      <c r="H4" s="296" t="s">
        <v>55</v>
      </c>
      <c r="I4" s="296"/>
      <c r="J4" s="296" t="s">
        <v>56</v>
      </c>
      <c r="K4" s="296"/>
      <c r="L4" s="296" t="s">
        <v>57</v>
      </c>
      <c r="M4" s="296"/>
      <c r="N4" s="296" t="s">
        <v>58</v>
      </c>
      <c r="O4" s="296"/>
      <c r="P4" s="296" t="s">
        <v>59</v>
      </c>
      <c r="Q4" s="296"/>
      <c r="R4" s="296" t="s">
        <v>60</v>
      </c>
      <c r="S4" s="296"/>
      <c r="T4" s="296" t="s">
        <v>61</v>
      </c>
      <c r="U4" s="296"/>
      <c r="V4" s="296" t="s">
        <v>12</v>
      </c>
      <c r="W4" s="296"/>
      <c r="X4" s="296" t="s">
        <v>13</v>
      </c>
      <c r="Y4" s="296"/>
    </row>
    <row r="5" spans="1:25" ht="12.75">
      <c r="A5" s="47"/>
      <c r="B5" s="48" t="s">
        <v>14</v>
      </c>
      <c r="C5" s="48" t="s">
        <v>15</v>
      </c>
      <c r="D5" s="48" t="s">
        <v>62</v>
      </c>
      <c r="E5" s="48" t="s">
        <v>15</v>
      </c>
      <c r="F5" s="48" t="s">
        <v>14</v>
      </c>
      <c r="G5" s="48" t="s">
        <v>15</v>
      </c>
      <c r="H5" s="48" t="s">
        <v>14</v>
      </c>
      <c r="I5" s="48" t="s">
        <v>15</v>
      </c>
      <c r="J5" s="48" t="s">
        <v>14</v>
      </c>
      <c r="K5" s="48" t="s">
        <v>15</v>
      </c>
      <c r="L5" s="48" t="s">
        <v>14</v>
      </c>
      <c r="M5" s="48" t="s">
        <v>15</v>
      </c>
      <c r="N5" s="48" t="s">
        <v>14</v>
      </c>
      <c r="O5" s="48" t="s">
        <v>15</v>
      </c>
      <c r="P5" s="48" t="s">
        <v>14</v>
      </c>
      <c r="Q5" s="48" t="s">
        <v>15</v>
      </c>
      <c r="R5" s="48" t="s">
        <v>14</v>
      </c>
      <c r="S5" s="48" t="s">
        <v>15</v>
      </c>
      <c r="T5" s="48" t="s">
        <v>14</v>
      </c>
      <c r="U5" s="48" t="s">
        <v>15</v>
      </c>
      <c r="V5" s="48" t="s">
        <v>14</v>
      </c>
      <c r="W5" s="48" t="s">
        <v>15</v>
      </c>
      <c r="X5" s="47" t="s">
        <v>14</v>
      </c>
      <c r="Y5" s="47" t="s">
        <v>15</v>
      </c>
    </row>
    <row r="6" spans="1:25" s="51" customFormat="1" ht="12.75">
      <c r="A6" s="49" t="s">
        <v>16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>
        <v>0.078</v>
      </c>
      <c r="S6" s="50">
        <v>0.546</v>
      </c>
      <c r="T6" s="50">
        <v>0.45</v>
      </c>
      <c r="U6" s="50">
        <v>2.03</v>
      </c>
      <c r="V6" s="50">
        <v>3.803</v>
      </c>
      <c r="W6" s="50">
        <v>30</v>
      </c>
      <c r="X6" s="49">
        <f aca="true" t="shared" si="0" ref="X6:X40">B6+D6+F6+H6+J6+L6+N6+P6+R6+T6+V6</f>
        <v>4.3309999999999995</v>
      </c>
      <c r="Y6" s="49">
        <f aca="true" t="shared" si="1" ref="Y6:Y40">C6+E6+G6+I6+K6+M6+O6+Q6+S6+U6+W6</f>
        <v>32.576</v>
      </c>
    </row>
    <row r="7" spans="1:27" ht="12.75">
      <c r="A7" s="52" t="s">
        <v>17</v>
      </c>
      <c r="B7" s="53">
        <v>28.5</v>
      </c>
      <c r="C7" s="53">
        <v>428.2</v>
      </c>
      <c r="D7" s="53">
        <v>6.7</v>
      </c>
      <c r="E7" s="53">
        <v>99.8</v>
      </c>
      <c r="F7" s="53">
        <v>0</v>
      </c>
      <c r="G7" s="53">
        <v>0</v>
      </c>
      <c r="H7" s="53">
        <v>28.3</v>
      </c>
      <c r="I7" s="53">
        <v>424</v>
      </c>
      <c r="J7" s="53">
        <v>0.1</v>
      </c>
      <c r="K7" s="53">
        <v>3.5</v>
      </c>
      <c r="L7" s="53">
        <v>81.1</v>
      </c>
      <c r="M7" s="53">
        <v>1540.3</v>
      </c>
      <c r="N7" s="53">
        <v>33.8</v>
      </c>
      <c r="O7" s="53">
        <v>574</v>
      </c>
      <c r="P7" s="53">
        <v>4.4</v>
      </c>
      <c r="Q7" s="53">
        <v>88.3</v>
      </c>
      <c r="R7" s="53">
        <v>0.7</v>
      </c>
      <c r="S7" s="53">
        <v>13.5</v>
      </c>
      <c r="T7" s="53">
        <v>15.7</v>
      </c>
      <c r="U7" s="53">
        <v>314.5</v>
      </c>
      <c r="V7" s="53">
        <v>65.7</v>
      </c>
      <c r="W7" s="53">
        <v>869.7</v>
      </c>
      <c r="X7" s="54">
        <f t="shared" si="0"/>
        <v>265</v>
      </c>
      <c r="Y7" s="54">
        <f t="shared" si="1"/>
        <v>4355.8</v>
      </c>
      <c r="Z7" s="41"/>
      <c r="AA7" s="41"/>
    </row>
    <row r="8" spans="1:27" ht="12.75">
      <c r="A8" s="52" t="s">
        <v>18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4</v>
      </c>
      <c r="Q8" s="53">
        <v>31.7</v>
      </c>
      <c r="R8" s="53">
        <v>0</v>
      </c>
      <c r="S8" s="53">
        <v>0</v>
      </c>
      <c r="T8" s="53">
        <v>0</v>
      </c>
      <c r="U8" s="53">
        <v>0</v>
      </c>
      <c r="V8" s="53">
        <v>19.8</v>
      </c>
      <c r="W8" s="53">
        <v>78.3</v>
      </c>
      <c r="X8" s="54">
        <f t="shared" si="0"/>
        <v>23.8</v>
      </c>
      <c r="Y8" s="54">
        <f t="shared" si="1"/>
        <v>110</v>
      </c>
      <c r="Z8" s="41"/>
      <c r="AA8" s="41"/>
    </row>
    <row r="9" spans="1:27" ht="12.75">
      <c r="A9" s="52" t="s">
        <v>19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6.9</v>
      </c>
      <c r="O9" s="53">
        <v>16.8</v>
      </c>
      <c r="P9" s="53">
        <v>77.7</v>
      </c>
      <c r="Q9" s="53">
        <v>504.6</v>
      </c>
      <c r="R9" s="53">
        <v>8.1</v>
      </c>
      <c r="S9" s="53">
        <v>28.4</v>
      </c>
      <c r="T9" s="53">
        <v>2.7</v>
      </c>
      <c r="U9" s="53">
        <v>12.6</v>
      </c>
      <c r="V9" s="53">
        <v>236</v>
      </c>
      <c r="W9" s="53">
        <v>3887.1</v>
      </c>
      <c r="X9" s="54">
        <f t="shared" si="0"/>
        <v>331.4</v>
      </c>
      <c r="Y9" s="54">
        <f t="shared" si="1"/>
        <v>4449.5</v>
      </c>
      <c r="Z9" s="41"/>
      <c r="AA9" s="41"/>
    </row>
    <row r="10" spans="1:27" ht="12.75">
      <c r="A10" s="52" t="s">
        <v>20</v>
      </c>
      <c r="B10" s="53">
        <v>54.1</v>
      </c>
      <c r="C10" s="53">
        <v>1120.6</v>
      </c>
      <c r="D10" s="53">
        <v>37</v>
      </c>
      <c r="E10" s="53">
        <v>623.5</v>
      </c>
      <c r="F10" s="53">
        <v>60.1</v>
      </c>
      <c r="G10" s="53">
        <v>1009</v>
      </c>
      <c r="H10" s="53">
        <v>56.6</v>
      </c>
      <c r="I10" s="53">
        <v>716.3</v>
      </c>
      <c r="J10" s="53">
        <v>8.7</v>
      </c>
      <c r="K10" s="53">
        <v>53.1</v>
      </c>
      <c r="L10" s="53">
        <v>46.5</v>
      </c>
      <c r="M10" s="53">
        <v>916.8</v>
      </c>
      <c r="N10" s="53">
        <v>50.5</v>
      </c>
      <c r="O10" s="53">
        <v>962.7</v>
      </c>
      <c r="P10" s="53">
        <v>322.8</v>
      </c>
      <c r="Q10" s="53">
        <v>5741.3</v>
      </c>
      <c r="R10" s="53">
        <v>0.2</v>
      </c>
      <c r="S10" s="53">
        <v>4.4</v>
      </c>
      <c r="T10" s="53"/>
      <c r="U10" s="53"/>
      <c r="V10" s="53">
        <v>187.8</v>
      </c>
      <c r="W10" s="53">
        <v>2465.2</v>
      </c>
      <c r="X10" s="54">
        <f t="shared" si="0"/>
        <v>824.3</v>
      </c>
      <c r="Y10" s="54">
        <f t="shared" si="1"/>
        <v>13612.899999999998</v>
      </c>
      <c r="Z10" s="41"/>
      <c r="AA10" s="41"/>
    </row>
    <row r="11" spans="1:25" s="51" customFormat="1" ht="12.75">
      <c r="A11" s="49" t="s">
        <v>21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0.1</v>
      </c>
      <c r="W11" s="50">
        <v>1.7</v>
      </c>
      <c r="X11" s="49">
        <f t="shared" si="0"/>
        <v>0.1</v>
      </c>
      <c r="Y11" s="49">
        <f t="shared" si="1"/>
        <v>1.7</v>
      </c>
    </row>
    <row r="12" spans="1:27" ht="12.75">
      <c r="A12" s="52" t="s">
        <v>22</v>
      </c>
      <c r="B12" s="53">
        <v>23.9</v>
      </c>
      <c r="C12" s="53">
        <v>326.9</v>
      </c>
      <c r="D12" s="53">
        <v>8</v>
      </c>
      <c r="E12" s="53">
        <v>128.7</v>
      </c>
      <c r="F12" s="53">
        <v>10.4</v>
      </c>
      <c r="G12" s="53">
        <v>137.5</v>
      </c>
      <c r="H12" s="53">
        <v>21</v>
      </c>
      <c r="I12" s="53">
        <v>194.8</v>
      </c>
      <c r="J12" s="53">
        <v>9.7</v>
      </c>
      <c r="K12" s="53">
        <v>55.5</v>
      </c>
      <c r="L12" s="53">
        <v>75.6</v>
      </c>
      <c r="M12" s="53">
        <v>474.5</v>
      </c>
      <c r="N12" s="53">
        <v>8</v>
      </c>
      <c r="O12" s="53">
        <v>119.5</v>
      </c>
      <c r="P12" s="53">
        <v>29.3</v>
      </c>
      <c r="Q12" s="53">
        <v>399.8</v>
      </c>
      <c r="R12" s="53">
        <v>3.9</v>
      </c>
      <c r="S12" s="53">
        <v>49.4</v>
      </c>
      <c r="T12" s="53">
        <v>4.5</v>
      </c>
      <c r="U12" s="53">
        <v>50.2</v>
      </c>
      <c r="V12" s="53">
        <v>82.8</v>
      </c>
      <c r="W12" s="53">
        <v>865.1</v>
      </c>
      <c r="X12" s="54">
        <f t="shared" si="0"/>
        <v>277.1</v>
      </c>
      <c r="Y12" s="54">
        <f t="shared" si="1"/>
        <v>2801.9</v>
      </c>
      <c r="Z12" s="41"/>
      <c r="AA12" s="41"/>
    </row>
    <row r="13" spans="1:25" s="51" customFormat="1" ht="12.75">
      <c r="A13" s="49" t="s">
        <v>23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1.5</v>
      </c>
      <c r="W13" s="50">
        <v>13.5</v>
      </c>
      <c r="X13" s="49">
        <f t="shared" si="0"/>
        <v>1.5</v>
      </c>
      <c r="Y13" s="49">
        <f t="shared" si="1"/>
        <v>13.5</v>
      </c>
    </row>
    <row r="14" spans="1:25" s="51" customFormat="1" ht="12.75">
      <c r="A14" s="49" t="s">
        <v>24</v>
      </c>
      <c r="B14" s="50">
        <v>0.03</v>
      </c>
      <c r="C14" s="50">
        <v>0.025</v>
      </c>
      <c r="D14" s="50">
        <v>0.003</v>
      </c>
      <c r="E14" s="50">
        <v>0.013</v>
      </c>
      <c r="F14" s="50">
        <v>0.002</v>
      </c>
      <c r="G14" s="50">
        <v>0.012</v>
      </c>
      <c r="H14" s="50">
        <v>0.02</v>
      </c>
      <c r="I14" s="50">
        <v>0.022</v>
      </c>
      <c r="J14" s="50">
        <v>0.009</v>
      </c>
      <c r="K14" s="50">
        <v>0.005</v>
      </c>
      <c r="L14" s="50">
        <v>0.015</v>
      </c>
      <c r="M14" s="50">
        <v>0.013</v>
      </c>
      <c r="N14" s="50">
        <v>0.015</v>
      </c>
      <c r="O14" s="50">
        <v>0.013</v>
      </c>
      <c r="P14" s="50">
        <v>0.015</v>
      </c>
      <c r="Q14" s="50">
        <v>0.013</v>
      </c>
      <c r="R14" s="50">
        <v>0.015</v>
      </c>
      <c r="S14" s="50">
        <v>0.013</v>
      </c>
      <c r="T14" s="50">
        <v>0.015</v>
      </c>
      <c r="U14" s="50">
        <v>0.013</v>
      </c>
      <c r="V14" s="50">
        <v>0.023</v>
      </c>
      <c r="W14" s="50">
        <v>0.058</v>
      </c>
      <c r="X14" s="49">
        <f t="shared" si="0"/>
        <v>0.162</v>
      </c>
      <c r="Y14" s="49">
        <f t="shared" si="1"/>
        <v>0.2</v>
      </c>
    </row>
    <row r="15" spans="1:27" ht="12.75">
      <c r="A15" s="52" t="s">
        <v>25</v>
      </c>
      <c r="B15" s="53">
        <v>1.4</v>
      </c>
      <c r="C15" s="53">
        <v>26.2</v>
      </c>
      <c r="D15" s="53">
        <v>0.1</v>
      </c>
      <c r="E15" s="53">
        <v>3.5</v>
      </c>
      <c r="F15" s="53">
        <v>5.1</v>
      </c>
      <c r="G15" s="53">
        <v>103.3</v>
      </c>
      <c r="H15" s="53">
        <v>0.5</v>
      </c>
      <c r="I15" s="53">
        <v>4.2</v>
      </c>
      <c r="J15" s="53">
        <v>0.2</v>
      </c>
      <c r="K15" s="53">
        <v>9.2</v>
      </c>
      <c r="L15" s="53">
        <v>1.3</v>
      </c>
      <c r="M15" s="53">
        <v>24.8</v>
      </c>
      <c r="N15" s="53">
        <v>1.6</v>
      </c>
      <c r="O15" s="53">
        <v>34</v>
      </c>
      <c r="P15" s="53">
        <v>2.7</v>
      </c>
      <c r="Q15" s="53">
        <v>35.2</v>
      </c>
      <c r="R15" s="53">
        <v>0</v>
      </c>
      <c r="S15" s="53">
        <v>0</v>
      </c>
      <c r="T15" s="53">
        <v>0</v>
      </c>
      <c r="U15" s="53">
        <v>0</v>
      </c>
      <c r="V15" s="53">
        <v>26.8</v>
      </c>
      <c r="W15" s="53">
        <v>431.6</v>
      </c>
      <c r="X15" s="54">
        <f t="shared" si="0"/>
        <v>39.7</v>
      </c>
      <c r="Y15" s="54">
        <f t="shared" si="1"/>
        <v>672</v>
      </c>
      <c r="Z15" s="41"/>
      <c r="AA15" s="41"/>
    </row>
    <row r="16" spans="1:25" s="51" customFormat="1" ht="12.75">
      <c r="A16" s="49" t="s">
        <v>26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8.213</v>
      </c>
      <c r="W16" s="50">
        <v>84.29</v>
      </c>
      <c r="X16" s="49">
        <f t="shared" si="0"/>
        <v>8.213</v>
      </c>
      <c r="Y16" s="49">
        <f t="shared" si="1"/>
        <v>84.29</v>
      </c>
    </row>
    <row r="17" spans="1:27" ht="12.75">
      <c r="A17" s="52" t="s">
        <v>27</v>
      </c>
      <c r="B17" s="53">
        <v>57.8</v>
      </c>
      <c r="C17" s="53">
        <v>933.8</v>
      </c>
      <c r="D17" s="53">
        <v>19.7</v>
      </c>
      <c r="E17" s="53">
        <v>340</v>
      </c>
      <c r="F17" s="53">
        <v>16.1</v>
      </c>
      <c r="G17" s="53">
        <v>272.3</v>
      </c>
      <c r="H17" s="53">
        <v>43</v>
      </c>
      <c r="I17" s="53">
        <v>366.1</v>
      </c>
      <c r="J17" s="53">
        <v>0</v>
      </c>
      <c r="K17" s="53">
        <v>0</v>
      </c>
      <c r="L17" s="53">
        <v>28.5</v>
      </c>
      <c r="M17" s="53">
        <v>676.1</v>
      </c>
      <c r="N17" s="53">
        <v>52.1</v>
      </c>
      <c r="O17" s="53">
        <v>1242.3</v>
      </c>
      <c r="P17" s="53">
        <v>49.7</v>
      </c>
      <c r="Q17" s="53">
        <v>1339.7</v>
      </c>
      <c r="R17" s="53">
        <v>0</v>
      </c>
      <c r="S17" s="53">
        <v>0</v>
      </c>
      <c r="T17" s="53">
        <v>0</v>
      </c>
      <c r="U17" s="53">
        <v>0</v>
      </c>
      <c r="V17" s="53">
        <v>99.2</v>
      </c>
      <c r="W17" s="53">
        <v>892.2</v>
      </c>
      <c r="X17" s="54">
        <f t="shared" si="0"/>
        <v>366.09999999999997</v>
      </c>
      <c r="Y17" s="54">
        <f t="shared" si="1"/>
        <v>6062.499999999999</v>
      </c>
      <c r="Z17" s="41"/>
      <c r="AA17" s="41"/>
    </row>
    <row r="18" spans="1:27" ht="12.75">
      <c r="A18" s="52" t="s">
        <v>28</v>
      </c>
      <c r="B18" s="53">
        <v>15.7</v>
      </c>
      <c r="C18" s="53">
        <v>184.1</v>
      </c>
      <c r="D18" s="53">
        <v>10.8</v>
      </c>
      <c r="E18" s="53">
        <v>172.9</v>
      </c>
      <c r="F18" s="53">
        <v>30.3</v>
      </c>
      <c r="G18" s="53">
        <v>417.2</v>
      </c>
      <c r="H18" s="53">
        <v>15.2</v>
      </c>
      <c r="I18" s="53">
        <v>107.4</v>
      </c>
      <c r="J18" s="53">
        <v>11.1</v>
      </c>
      <c r="K18" s="53">
        <v>94.7</v>
      </c>
      <c r="L18" s="53">
        <v>22.5</v>
      </c>
      <c r="M18" s="53">
        <v>258.8</v>
      </c>
      <c r="N18" s="53">
        <v>16.4</v>
      </c>
      <c r="O18" s="53">
        <v>314.9</v>
      </c>
      <c r="P18" s="53">
        <v>21.5</v>
      </c>
      <c r="Q18" s="53">
        <v>341.6</v>
      </c>
      <c r="R18" s="53"/>
      <c r="S18" s="53"/>
      <c r="T18" s="53"/>
      <c r="U18" s="53"/>
      <c r="V18" s="53">
        <v>137.3</v>
      </c>
      <c r="W18" s="53">
        <v>1475.3</v>
      </c>
      <c r="X18" s="54">
        <f t="shared" si="0"/>
        <v>280.8</v>
      </c>
      <c r="Y18" s="54">
        <f t="shared" si="1"/>
        <v>3366.8999999999996</v>
      </c>
      <c r="Z18" s="41"/>
      <c r="AA18" s="41"/>
    </row>
    <row r="19" spans="1:27" ht="12.75">
      <c r="A19" s="55" t="s">
        <v>29</v>
      </c>
      <c r="B19" s="53">
        <v>0.8</v>
      </c>
      <c r="C19" s="53">
        <v>15.4</v>
      </c>
      <c r="D19" s="53">
        <v>3.9</v>
      </c>
      <c r="E19" s="53">
        <v>119.8</v>
      </c>
      <c r="F19" s="53">
        <v>2.3</v>
      </c>
      <c r="G19" s="53">
        <v>52.7</v>
      </c>
      <c r="H19" s="53">
        <v>1.8</v>
      </c>
      <c r="I19" s="53">
        <v>21.7</v>
      </c>
      <c r="J19" s="53">
        <v>17.4</v>
      </c>
      <c r="K19" s="53">
        <v>203.4</v>
      </c>
      <c r="L19" s="53">
        <v>9.4</v>
      </c>
      <c r="M19" s="53">
        <v>317.7</v>
      </c>
      <c r="N19" s="53">
        <v>1.6</v>
      </c>
      <c r="O19" s="53">
        <v>25.9</v>
      </c>
      <c r="P19" s="53">
        <v>14</v>
      </c>
      <c r="Q19" s="53">
        <v>175</v>
      </c>
      <c r="R19" s="53"/>
      <c r="S19" s="53"/>
      <c r="T19" s="53"/>
      <c r="U19" s="53"/>
      <c r="V19" s="53">
        <v>12.6</v>
      </c>
      <c r="W19" s="53">
        <v>219.1</v>
      </c>
      <c r="X19" s="54">
        <f t="shared" si="0"/>
        <v>63.800000000000004</v>
      </c>
      <c r="Y19" s="54">
        <f t="shared" si="1"/>
        <v>1150.7</v>
      </c>
      <c r="Z19" s="41"/>
      <c r="AA19" s="41"/>
    </row>
    <row r="20" spans="1:27" ht="12.75">
      <c r="A20" s="52" t="s">
        <v>30</v>
      </c>
      <c r="B20" s="53">
        <v>1.2</v>
      </c>
      <c r="C20" s="53">
        <v>16.9</v>
      </c>
      <c r="D20" s="53">
        <v>1.2</v>
      </c>
      <c r="E20" s="53">
        <v>24.2</v>
      </c>
      <c r="F20" s="53">
        <v>1.7</v>
      </c>
      <c r="G20" s="53">
        <v>34.6</v>
      </c>
      <c r="H20" s="53">
        <v>2.2</v>
      </c>
      <c r="I20" s="53">
        <v>71.5</v>
      </c>
      <c r="J20" s="53">
        <v>2.5</v>
      </c>
      <c r="K20" s="53">
        <v>116.9</v>
      </c>
      <c r="L20" s="53">
        <v>1.8</v>
      </c>
      <c r="M20" s="53">
        <v>73.6</v>
      </c>
      <c r="N20" s="53">
        <v>2.6</v>
      </c>
      <c r="O20" s="53">
        <v>46</v>
      </c>
      <c r="P20" s="53">
        <v>1.9</v>
      </c>
      <c r="Q20" s="53">
        <v>51.7</v>
      </c>
      <c r="R20" s="53"/>
      <c r="S20" s="53"/>
      <c r="T20" s="53"/>
      <c r="U20" s="53"/>
      <c r="V20" s="53">
        <v>41.7</v>
      </c>
      <c r="W20" s="53">
        <v>812.3</v>
      </c>
      <c r="X20" s="54">
        <f t="shared" si="0"/>
        <v>56.800000000000004</v>
      </c>
      <c r="Y20" s="54">
        <f t="shared" si="1"/>
        <v>1247.7</v>
      </c>
      <c r="Z20" s="41"/>
      <c r="AA20" s="41"/>
    </row>
    <row r="21" spans="1:27" s="58" customFormat="1" ht="12.75">
      <c r="A21" s="52" t="s">
        <v>31</v>
      </c>
      <c r="B21" s="53">
        <v>17</v>
      </c>
      <c r="C21" s="53">
        <v>339.1</v>
      </c>
      <c r="D21" s="53">
        <v>10.5</v>
      </c>
      <c r="E21" s="53">
        <v>168.2</v>
      </c>
      <c r="F21" s="53">
        <v>18.6</v>
      </c>
      <c r="G21" s="53">
        <v>297.8</v>
      </c>
      <c r="H21" s="53">
        <v>22.7</v>
      </c>
      <c r="I21" s="53">
        <v>318.1</v>
      </c>
      <c r="J21" s="53"/>
      <c r="K21" s="53"/>
      <c r="L21" s="53">
        <v>15.4</v>
      </c>
      <c r="M21" s="53">
        <v>307.4</v>
      </c>
      <c r="N21" s="53">
        <v>11.4</v>
      </c>
      <c r="O21" s="53">
        <v>227.1</v>
      </c>
      <c r="P21" s="53">
        <v>38.1</v>
      </c>
      <c r="Q21" s="53">
        <v>359.5</v>
      </c>
      <c r="R21" s="53"/>
      <c r="S21" s="53"/>
      <c r="T21" s="53"/>
      <c r="U21" s="53"/>
      <c r="V21" s="53">
        <v>90</v>
      </c>
      <c r="W21" s="53">
        <v>1377.7</v>
      </c>
      <c r="X21" s="54">
        <f t="shared" si="0"/>
        <v>223.70000000000002</v>
      </c>
      <c r="Y21" s="54">
        <f t="shared" si="1"/>
        <v>3394.8999999999996</v>
      </c>
      <c r="Z21" s="56"/>
      <c r="AA21" s="57"/>
    </row>
    <row r="22" spans="1:27" ht="12.75">
      <c r="A22" s="52" t="s">
        <v>32</v>
      </c>
      <c r="B22" s="53">
        <v>19.2</v>
      </c>
      <c r="C22" s="53">
        <v>467.9</v>
      </c>
      <c r="D22" s="53">
        <v>7.3</v>
      </c>
      <c r="E22" s="53">
        <v>150.8</v>
      </c>
      <c r="F22" s="53">
        <v>3.7</v>
      </c>
      <c r="G22" s="53">
        <v>66</v>
      </c>
      <c r="H22" s="53">
        <v>7.2</v>
      </c>
      <c r="I22" s="53">
        <v>58.1</v>
      </c>
      <c r="J22" s="53">
        <v>1.4</v>
      </c>
      <c r="K22" s="53">
        <v>19</v>
      </c>
      <c r="L22" s="53">
        <v>46.1</v>
      </c>
      <c r="M22" s="53">
        <v>1315.7</v>
      </c>
      <c r="N22" s="53">
        <v>152.3</v>
      </c>
      <c r="O22" s="53">
        <v>1184.9</v>
      </c>
      <c r="P22" s="53">
        <v>65.5</v>
      </c>
      <c r="Q22" s="53">
        <v>682.1</v>
      </c>
      <c r="R22" s="53">
        <v>3.1</v>
      </c>
      <c r="S22" s="53">
        <v>39.1</v>
      </c>
      <c r="T22" s="53">
        <v>1.4</v>
      </c>
      <c r="U22" s="53">
        <v>18.9</v>
      </c>
      <c r="V22" s="53">
        <v>104.8</v>
      </c>
      <c r="W22" s="53">
        <v>1476</v>
      </c>
      <c r="X22" s="54">
        <f t="shared" si="0"/>
        <v>412.00000000000006</v>
      </c>
      <c r="Y22" s="54">
        <f t="shared" si="1"/>
        <v>5478.5</v>
      </c>
      <c r="Z22" s="41"/>
      <c r="AA22" s="41"/>
    </row>
    <row r="23" spans="1:27" ht="12.75">
      <c r="A23" s="52" t="s">
        <v>33</v>
      </c>
      <c r="B23" s="53">
        <v>0</v>
      </c>
      <c r="C23" s="53">
        <v>0</v>
      </c>
      <c r="D23" s="53"/>
      <c r="E23" s="53"/>
      <c r="F23" s="53"/>
      <c r="G23" s="53"/>
      <c r="H23" s="53">
        <v>0</v>
      </c>
      <c r="I23" s="53"/>
      <c r="J23" s="53"/>
      <c r="K23" s="53"/>
      <c r="L23" s="53"/>
      <c r="M23" s="53"/>
      <c r="N23" s="53"/>
      <c r="O23" s="53"/>
      <c r="P23" s="53"/>
      <c r="Q23" s="53"/>
      <c r="R23" s="53">
        <v>0.5</v>
      </c>
      <c r="S23" s="53">
        <v>6.4</v>
      </c>
      <c r="T23" s="59">
        <v>87.1</v>
      </c>
      <c r="U23" s="59">
        <v>2519</v>
      </c>
      <c r="V23" s="53">
        <v>73.4</v>
      </c>
      <c r="W23" s="60">
        <v>708.8</v>
      </c>
      <c r="X23" s="54">
        <f t="shared" si="0"/>
        <v>161</v>
      </c>
      <c r="Y23" s="54">
        <f t="shared" si="1"/>
        <v>3234.2</v>
      </c>
      <c r="Z23" s="41"/>
      <c r="AA23" s="41"/>
    </row>
    <row r="24" spans="1:25" s="51" customFormat="1" ht="12.75">
      <c r="A24" s="49" t="s">
        <v>34</v>
      </c>
      <c r="B24" s="50">
        <v>0</v>
      </c>
      <c r="C24" s="50">
        <v>0</v>
      </c>
      <c r="D24" s="50"/>
      <c r="E24" s="50"/>
      <c r="F24" s="50"/>
      <c r="G24" s="50"/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/>
      <c r="U24" s="50"/>
      <c r="V24" s="50">
        <v>0.41600000000000004</v>
      </c>
      <c r="W24" s="50">
        <v>13.966000000000001</v>
      </c>
      <c r="X24" s="49">
        <f t="shared" si="0"/>
        <v>0.41600000000000004</v>
      </c>
      <c r="Y24" s="49">
        <f t="shared" si="1"/>
        <v>13.966000000000001</v>
      </c>
    </row>
    <row r="25" spans="1:27" ht="12.75">
      <c r="A25" s="52" t="s">
        <v>35</v>
      </c>
      <c r="B25" s="53">
        <v>14.5</v>
      </c>
      <c r="C25" s="53">
        <v>217</v>
      </c>
      <c r="D25" s="53">
        <v>6.3</v>
      </c>
      <c r="E25" s="53">
        <v>125</v>
      </c>
      <c r="F25" s="53">
        <v>10.5</v>
      </c>
      <c r="G25" s="53">
        <v>167</v>
      </c>
      <c r="H25" s="53">
        <v>8.9</v>
      </c>
      <c r="I25" s="53">
        <v>53</v>
      </c>
      <c r="J25" s="53">
        <v>20.9</v>
      </c>
      <c r="K25" s="53">
        <v>230</v>
      </c>
      <c r="L25" s="53">
        <v>22</v>
      </c>
      <c r="M25" s="53">
        <v>331</v>
      </c>
      <c r="N25" s="53">
        <v>37.9</v>
      </c>
      <c r="O25" s="53">
        <v>630</v>
      </c>
      <c r="P25" s="53">
        <v>48.6</v>
      </c>
      <c r="Q25" s="53">
        <v>648</v>
      </c>
      <c r="R25" s="53">
        <v>4.1</v>
      </c>
      <c r="S25" s="53">
        <v>23</v>
      </c>
      <c r="T25" s="53"/>
      <c r="U25" s="53"/>
      <c r="V25" s="53">
        <v>27.9</v>
      </c>
      <c r="W25" s="53">
        <v>390</v>
      </c>
      <c r="X25" s="54">
        <f t="shared" si="0"/>
        <v>201.6</v>
      </c>
      <c r="Y25" s="54">
        <f t="shared" si="1"/>
        <v>2814</v>
      </c>
      <c r="Z25" s="41"/>
      <c r="AA25" s="41"/>
    </row>
    <row r="26" spans="1:27" ht="12.75">
      <c r="A26" s="52" t="s">
        <v>36</v>
      </c>
      <c r="B26" s="53">
        <v>28</v>
      </c>
      <c r="C26" s="53">
        <v>456.4</v>
      </c>
      <c r="D26" s="53">
        <v>14.4</v>
      </c>
      <c r="E26" s="53">
        <v>364.7</v>
      </c>
      <c r="F26" s="53">
        <v>12.5</v>
      </c>
      <c r="G26" s="53">
        <v>315</v>
      </c>
      <c r="H26" s="53">
        <v>25</v>
      </c>
      <c r="I26" s="53">
        <v>157.5</v>
      </c>
      <c r="J26" s="53">
        <v>6</v>
      </c>
      <c r="K26" s="53">
        <v>26.4</v>
      </c>
      <c r="L26" s="53">
        <v>30.7</v>
      </c>
      <c r="M26" s="53">
        <v>681.3</v>
      </c>
      <c r="N26" s="53">
        <v>242.4</v>
      </c>
      <c r="O26" s="53">
        <v>3812.4</v>
      </c>
      <c r="P26" s="53">
        <v>18.2</v>
      </c>
      <c r="Q26" s="53">
        <v>189.3</v>
      </c>
      <c r="R26" s="53">
        <v>0</v>
      </c>
      <c r="S26" s="53">
        <v>0</v>
      </c>
      <c r="T26" s="53"/>
      <c r="U26" s="53"/>
      <c r="V26" s="53">
        <v>56.8</v>
      </c>
      <c r="W26" s="53">
        <v>145</v>
      </c>
      <c r="X26" s="54">
        <f t="shared" si="0"/>
        <v>434</v>
      </c>
      <c r="Y26" s="54">
        <f t="shared" si="1"/>
        <v>6148</v>
      </c>
      <c r="Z26" s="41"/>
      <c r="AA26" s="41"/>
    </row>
    <row r="27" spans="1:25" s="51" customFormat="1" ht="12.75">
      <c r="A27" s="49" t="s">
        <v>37</v>
      </c>
      <c r="B27" s="50">
        <v>0</v>
      </c>
      <c r="C27" s="50">
        <v>0</v>
      </c>
      <c r="D27" s="50">
        <v>2.083</v>
      </c>
      <c r="E27" s="50">
        <v>27.661</v>
      </c>
      <c r="F27" s="50">
        <v>1.413</v>
      </c>
      <c r="G27" s="50">
        <v>12.542</v>
      </c>
      <c r="H27" s="50">
        <v>0</v>
      </c>
      <c r="I27" s="50">
        <v>0</v>
      </c>
      <c r="J27" s="50">
        <v>1.553</v>
      </c>
      <c r="K27" s="50">
        <v>10.646</v>
      </c>
      <c r="L27" s="50">
        <v>1.343</v>
      </c>
      <c r="M27" s="50">
        <v>12.187</v>
      </c>
      <c r="N27" s="50">
        <v>0</v>
      </c>
      <c r="O27" s="50">
        <v>0</v>
      </c>
      <c r="P27" s="50">
        <v>0.8</v>
      </c>
      <c r="Q27" s="50">
        <v>6.408</v>
      </c>
      <c r="R27" s="50">
        <v>0</v>
      </c>
      <c r="S27" s="50">
        <v>0</v>
      </c>
      <c r="T27" s="50">
        <v>0</v>
      </c>
      <c r="U27" s="50">
        <v>0</v>
      </c>
      <c r="V27" s="50">
        <v>3.149</v>
      </c>
      <c r="W27" s="50">
        <v>22.323</v>
      </c>
      <c r="X27" s="49">
        <f t="shared" si="0"/>
        <v>10.341000000000001</v>
      </c>
      <c r="Y27" s="49">
        <f t="shared" si="1"/>
        <v>91.767</v>
      </c>
    </row>
    <row r="28" spans="1:27" ht="12.75">
      <c r="A28" s="52" t="s">
        <v>38</v>
      </c>
      <c r="B28" s="53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18.8</v>
      </c>
      <c r="Q28" s="53">
        <v>157.6</v>
      </c>
      <c r="R28" s="53">
        <v>5.3</v>
      </c>
      <c r="S28" s="53">
        <v>19</v>
      </c>
      <c r="T28" s="53">
        <v>4.2</v>
      </c>
      <c r="U28" s="53">
        <v>23.3</v>
      </c>
      <c r="V28" s="53">
        <v>13.7</v>
      </c>
      <c r="W28" s="53">
        <v>145.5</v>
      </c>
      <c r="X28" s="54">
        <f t="shared" si="0"/>
        <v>42</v>
      </c>
      <c r="Y28" s="54">
        <f t="shared" si="1"/>
        <v>345.4</v>
      </c>
      <c r="Z28" s="41"/>
      <c r="AA28" s="41"/>
    </row>
    <row r="29" spans="1:25" s="51" customFormat="1" ht="12.75">
      <c r="A29" s="49" t="s">
        <v>39</v>
      </c>
      <c r="B29" s="50">
        <v>0.625</v>
      </c>
      <c r="C29" s="50">
        <v>2.45</v>
      </c>
      <c r="D29" s="50">
        <v>0.23600000000000002</v>
      </c>
      <c r="E29" s="50">
        <v>3.684</v>
      </c>
      <c r="F29" s="50">
        <v>0.035</v>
      </c>
      <c r="G29" s="50">
        <v>0.241</v>
      </c>
      <c r="H29" s="50">
        <v>0</v>
      </c>
      <c r="I29" s="50">
        <v>0</v>
      </c>
      <c r="J29" s="50">
        <v>0</v>
      </c>
      <c r="K29" s="50">
        <v>0</v>
      </c>
      <c r="L29" s="50">
        <v>0.017</v>
      </c>
      <c r="M29" s="50">
        <v>0.325</v>
      </c>
      <c r="N29" s="50"/>
      <c r="O29" s="50"/>
      <c r="P29" s="50">
        <v>0</v>
      </c>
      <c r="Q29" s="50">
        <v>0</v>
      </c>
      <c r="R29" s="50"/>
      <c r="S29" s="50"/>
      <c r="T29" s="50"/>
      <c r="U29" s="50"/>
      <c r="V29" s="50">
        <v>0.7706500000000001</v>
      </c>
      <c r="W29" s="50">
        <v>24.554</v>
      </c>
      <c r="X29" s="49">
        <f t="shared" si="0"/>
        <v>1.68365</v>
      </c>
      <c r="Y29" s="49">
        <f t="shared" si="1"/>
        <v>31.253999999999998</v>
      </c>
    </row>
    <row r="30" spans="1:25" s="51" customFormat="1" ht="12.75">
      <c r="A30" s="49" t="s">
        <v>40</v>
      </c>
      <c r="B30" s="50">
        <v>0.125</v>
      </c>
      <c r="C30" s="50">
        <v>0.16</v>
      </c>
      <c r="D30" s="50">
        <v>0.1</v>
      </c>
      <c r="E30" s="50">
        <v>0.16</v>
      </c>
      <c r="F30" s="50">
        <v>0.095</v>
      </c>
      <c r="G30" s="50">
        <v>0.11</v>
      </c>
      <c r="H30" s="50">
        <v>0.05</v>
      </c>
      <c r="I30" s="50">
        <v>0.059</v>
      </c>
      <c r="J30" s="50">
        <v>0</v>
      </c>
      <c r="K30" s="50">
        <v>0</v>
      </c>
      <c r="L30" s="50">
        <v>0.764</v>
      </c>
      <c r="M30" s="50">
        <v>1.3980000000000001</v>
      </c>
      <c r="N30" s="50">
        <v>0</v>
      </c>
      <c r="O30" s="50">
        <v>0</v>
      </c>
      <c r="P30" s="50">
        <v>1.035</v>
      </c>
      <c r="Q30" s="50">
        <v>1.765</v>
      </c>
      <c r="R30" s="50">
        <v>0.1</v>
      </c>
      <c r="S30" s="50">
        <v>0.186</v>
      </c>
      <c r="T30" s="50">
        <v>0.93</v>
      </c>
      <c r="U30" s="50">
        <v>8.85</v>
      </c>
      <c r="V30" s="50">
        <v>6.18</v>
      </c>
      <c r="W30" s="50">
        <v>31.905</v>
      </c>
      <c r="X30" s="49">
        <f t="shared" si="0"/>
        <v>9.379</v>
      </c>
      <c r="Y30" s="49">
        <f t="shared" si="1"/>
        <v>44.593</v>
      </c>
    </row>
    <row r="31" spans="1:27" ht="12.75">
      <c r="A31" s="52" t="s">
        <v>41</v>
      </c>
      <c r="B31" s="53">
        <v>129</v>
      </c>
      <c r="C31" s="53">
        <v>1913.8</v>
      </c>
      <c r="D31" s="53">
        <v>33.8</v>
      </c>
      <c r="E31" s="53">
        <v>933.3</v>
      </c>
      <c r="F31" s="53">
        <v>45.1</v>
      </c>
      <c r="G31" s="53">
        <v>641.6</v>
      </c>
      <c r="H31" s="53">
        <v>71.5</v>
      </c>
      <c r="I31" s="53">
        <v>620.9</v>
      </c>
      <c r="J31" s="53">
        <v>4.8</v>
      </c>
      <c r="K31" s="53">
        <v>42.1</v>
      </c>
      <c r="L31" s="53">
        <v>100.6</v>
      </c>
      <c r="M31" s="53">
        <v>1337.5</v>
      </c>
      <c r="N31" s="53">
        <v>28.5</v>
      </c>
      <c r="O31" s="53">
        <v>260</v>
      </c>
      <c r="P31" s="53">
        <v>12.8</v>
      </c>
      <c r="Q31" s="53">
        <v>165</v>
      </c>
      <c r="R31" s="53">
        <v>47.2</v>
      </c>
      <c r="S31" s="53">
        <v>403.8</v>
      </c>
      <c r="T31" s="53">
        <v>0</v>
      </c>
      <c r="U31" s="53">
        <v>0</v>
      </c>
      <c r="V31" s="53">
        <v>186.8</v>
      </c>
      <c r="W31" s="53">
        <v>1862.3</v>
      </c>
      <c r="X31" s="54">
        <f t="shared" si="0"/>
        <v>660.0999999999999</v>
      </c>
      <c r="Y31" s="54">
        <f t="shared" si="1"/>
        <v>8180.3</v>
      </c>
      <c r="Z31" s="41"/>
      <c r="AA31" s="41"/>
    </row>
    <row r="32" spans="1:25" s="51" customFormat="1" ht="12.75">
      <c r="A32" s="49" t="s">
        <v>42</v>
      </c>
      <c r="B32" s="50">
        <v>0.287</v>
      </c>
      <c r="C32" s="50">
        <v>7.09</v>
      </c>
      <c r="D32" s="50">
        <v>0</v>
      </c>
      <c r="E32" s="50">
        <v>0</v>
      </c>
      <c r="F32" s="50">
        <v>0</v>
      </c>
      <c r="G32" s="50">
        <v>0</v>
      </c>
      <c r="H32" s="50">
        <v>0.268</v>
      </c>
      <c r="I32" s="50">
        <v>3.35</v>
      </c>
      <c r="J32" s="50">
        <v>0</v>
      </c>
      <c r="K32" s="50">
        <v>0</v>
      </c>
      <c r="L32" s="50">
        <v>0.089</v>
      </c>
      <c r="M32" s="50">
        <v>0.412</v>
      </c>
      <c r="N32" s="50">
        <v>0.077</v>
      </c>
      <c r="O32" s="50">
        <v>0.298</v>
      </c>
      <c r="P32" s="50">
        <v>0</v>
      </c>
      <c r="Q32" s="50">
        <v>0</v>
      </c>
      <c r="R32" s="50">
        <v>0</v>
      </c>
      <c r="S32" s="50">
        <v>0</v>
      </c>
      <c r="T32" s="50">
        <v>0.755</v>
      </c>
      <c r="U32" s="50">
        <v>35.15</v>
      </c>
      <c r="V32" s="50">
        <v>1.175</v>
      </c>
      <c r="W32" s="50">
        <v>8.401</v>
      </c>
      <c r="X32" s="49">
        <f t="shared" si="0"/>
        <v>2.651</v>
      </c>
      <c r="Y32" s="49">
        <f t="shared" si="1"/>
        <v>54.70099999999999</v>
      </c>
    </row>
    <row r="33" spans="1:27" ht="12.75">
      <c r="A33" s="52" t="s">
        <v>43</v>
      </c>
      <c r="B33" s="53">
        <v>2.8</v>
      </c>
      <c r="C33" s="53">
        <v>41.3</v>
      </c>
      <c r="D33" s="53">
        <v>3.3</v>
      </c>
      <c r="E33" s="53">
        <v>73.2</v>
      </c>
      <c r="F33" s="53">
        <v>6</v>
      </c>
      <c r="G33" s="53">
        <v>138.3</v>
      </c>
      <c r="H33" s="53">
        <v>1.9</v>
      </c>
      <c r="I33" s="53">
        <v>14.6</v>
      </c>
      <c r="J33" s="53">
        <v>18.1</v>
      </c>
      <c r="K33" s="53">
        <v>109</v>
      </c>
      <c r="L33" s="53">
        <v>8.3</v>
      </c>
      <c r="M33" s="53">
        <v>153.6</v>
      </c>
      <c r="N33" s="53">
        <v>7.8</v>
      </c>
      <c r="O33" s="53">
        <v>167.7</v>
      </c>
      <c r="P33" s="53">
        <v>77.1</v>
      </c>
      <c r="Q33" s="53">
        <v>1313.4</v>
      </c>
      <c r="R33" s="53"/>
      <c r="S33" s="53"/>
      <c r="T33" s="53"/>
      <c r="U33" s="53"/>
      <c r="V33" s="53">
        <v>41.5</v>
      </c>
      <c r="W33" s="53">
        <v>507.1</v>
      </c>
      <c r="X33" s="54">
        <f t="shared" si="0"/>
        <v>166.8</v>
      </c>
      <c r="Y33" s="54">
        <f t="shared" si="1"/>
        <v>2518.2000000000003</v>
      </c>
      <c r="Z33" s="41"/>
      <c r="AA33" s="41"/>
    </row>
    <row r="34" spans="1:27" ht="12.75">
      <c r="A34" s="52" t="s">
        <v>44</v>
      </c>
      <c r="B34" s="53">
        <v>5.666</v>
      </c>
      <c r="C34" s="53">
        <v>31.219</v>
      </c>
      <c r="D34" s="53"/>
      <c r="E34" s="53"/>
      <c r="F34" s="53"/>
      <c r="G34" s="53"/>
      <c r="H34" s="53">
        <v>4.283</v>
      </c>
      <c r="I34" s="53">
        <v>13.427</v>
      </c>
      <c r="J34" s="53">
        <v>11.232</v>
      </c>
      <c r="K34" s="53">
        <v>23.702</v>
      </c>
      <c r="L34" s="53">
        <v>12.9</v>
      </c>
      <c r="M34" s="53">
        <v>55.177</v>
      </c>
      <c r="N34" s="53">
        <v>41.257</v>
      </c>
      <c r="O34" s="53">
        <v>397.373</v>
      </c>
      <c r="P34" s="53">
        <v>6.043</v>
      </c>
      <c r="Q34" s="53">
        <v>80.042</v>
      </c>
      <c r="R34" s="53">
        <v>1.648</v>
      </c>
      <c r="S34" s="53">
        <v>5.192</v>
      </c>
      <c r="T34" s="53"/>
      <c r="U34" s="53"/>
      <c r="V34" s="53">
        <f>5.215+0.32+2.628+1.051+3.643+1.337+0.536+9+1.365+0.783+0.697+2.141+0.364+10.712</f>
        <v>39.791999999999994</v>
      </c>
      <c r="W34" s="53">
        <f>25.237+0.821+12.204+8.217+16.183+4.979+2.091+46.385+15.625+5.527+1.33+5.924+2.779+34.899</f>
        <v>182.201</v>
      </c>
      <c r="X34" s="54">
        <f t="shared" si="0"/>
        <v>122.821</v>
      </c>
      <c r="Y34" s="54">
        <f t="shared" si="1"/>
        <v>788.3330000000001</v>
      </c>
      <c r="Z34" s="41"/>
      <c r="AA34" s="41"/>
    </row>
    <row r="35" spans="1:25" s="51" customFormat="1" ht="12.75">
      <c r="A35" s="49" t="s">
        <v>45</v>
      </c>
      <c r="B35" s="50">
        <v>0.1</v>
      </c>
      <c r="C35" s="50">
        <v>0.476</v>
      </c>
      <c r="D35" s="50">
        <v>1</v>
      </c>
      <c r="E35" s="50">
        <v>5.8</v>
      </c>
      <c r="F35" s="50">
        <v>0.5</v>
      </c>
      <c r="G35" s="50">
        <v>2</v>
      </c>
      <c r="H35" s="50">
        <v>0.08</v>
      </c>
      <c r="I35" s="50">
        <v>0.341</v>
      </c>
      <c r="J35" s="50">
        <v>1.6</v>
      </c>
      <c r="K35" s="50">
        <v>9.7</v>
      </c>
      <c r="L35" s="50">
        <v>0.1</v>
      </c>
      <c r="M35" s="50">
        <v>0.4</v>
      </c>
      <c r="N35" s="50">
        <v>0.08</v>
      </c>
      <c r="O35" s="50">
        <v>0.371</v>
      </c>
      <c r="P35" s="50">
        <v>7.6</v>
      </c>
      <c r="Q35" s="50">
        <v>33.3</v>
      </c>
      <c r="R35" s="50">
        <v>0.113</v>
      </c>
      <c r="S35" s="50">
        <v>0.592</v>
      </c>
      <c r="T35" s="50">
        <v>0.366</v>
      </c>
      <c r="U35" s="50">
        <v>1.63</v>
      </c>
      <c r="V35" s="50">
        <v>6.3</v>
      </c>
      <c r="W35" s="50">
        <v>26.2</v>
      </c>
      <c r="X35" s="49">
        <f t="shared" si="0"/>
        <v>17.839</v>
      </c>
      <c r="Y35" s="49">
        <f t="shared" si="1"/>
        <v>80.80999999999999</v>
      </c>
    </row>
    <row r="36" spans="1:27" ht="12.75">
      <c r="A36" s="52" t="s">
        <v>46</v>
      </c>
      <c r="B36" s="53">
        <v>7.7</v>
      </c>
      <c r="C36" s="53">
        <v>82</v>
      </c>
      <c r="D36" s="53">
        <v>1.7</v>
      </c>
      <c r="E36" s="53">
        <v>93.4</v>
      </c>
      <c r="F36" s="53">
        <v>0.7</v>
      </c>
      <c r="G36" s="53">
        <v>13.6</v>
      </c>
      <c r="H36" s="53">
        <v>5.2</v>
      </c>
      <c r="I36" s="53">
        <v>38.8</v>
      </c>
      <c r="J36" s="53"/>
      <c r="K36" s="53"/>
      <c r="L36" s="53">
        <v>23.8</v>
      </c>
      <c r="M36" s="53">
        <v>299.9</v>
      </c>
      <c r="N36" s="53">
        <v>31.5</v>
      </c>
      <c r="O36" s="53">
        <v>252.5</v>
      </c>
      <c r="P36" s="53">
        <v>5.4</v>
      </c>
      <c r="Q36" s="53">
        <v>80.6</v>
      </c>
      <c r="R36" s="53">
        <v>1.5</v>
      </c>
      <c r="S36" s="53">
        <v>31.9</v>
      </c>
      <c r="T36" s="53">
        <v>137.3</v>
      </c>
      <c r="U36" s="53">
        <v>5246</v>
      </c>
      <c r="V36" s="53">
        <v>38.1</v>
      </c>
      <c r="W36" s="53">
        <v>931.7</v>
      </c>
      <c r="X36" s="54">
        <f t="shared" si="0"/>
        <v>252.9</v>
      </c>
      <c r="Y36" s="54">
        <f t="shared" si="1"/>
        <v>7070.4</v>
      </c>
      <c r="Z36" s="41"/>
      <c r="AA36" s="41"/>
    </row>
    <row r="37" spans="1:27" s="64" customFormat="1" ht="12.75">
      <c r="A37" s="61" t="s">
        <v>47</v>
      </c>
      <c r="B37" s="62">
        <v>2.8</v>
      </c>
      <c r="C37" s="62">
        <v>35.7</v>
      </c>
      <c r="D37" s="62">
        <v>1.7</v>
      </c>
      <c r="E37" s="62">
        <v>39.6</v>
      </c>
      <c r="F37" s="62">
        <v>1.6</v>
      </c>
      <c r="G37" s="62">
        <v>23.1</v>
      </c>
      <c r="H37" s="62">
        <v>1.5</v>
      </c>
      <c r="I37" s="62">
        <v>11.4</v>
      </c>
      <c r="J37" s="62"/>
      <c r="K37" s="62"/>
      <c r="L37" s="62">
        <v>1.3</v>
      </c>
      <c r="M37" s="62">
        <v>28.6</v>
      </c>
      <c r="N37" s="62"/>
      <c r="O37" s="62"/>
      <c r="P37" s="62">
        <v>5.7</v>
      </c>
      <c r="Q37" s="62">
        <v>113</v>
      </c>
      <c r="R37" s="62"/>
      <c r="S37" s="62"/>
      <c r="T37" s="62"/>
      <c r="U37" s="62"/>
      <c r="V37" s="62">
        <v>17.2</v>
      </c>
      <c r="W37" s="62">
        <v>164.5</v>
      </c>
      <c r="X37" s="54">
        <f t="shared" si="0"/>
        <v>31.8</v>
      </c>
      <c r="Y37" s="54">
        <f t="shared" si="1"/>
        <v>415.9</v>
      </c>
      <c r="Z37" s="63"/>
      <c r="AA37" s="63"/>
    </row>
    <row r="38" spans="1:27" ht="12.75">
      <c r="A38" s="52" t="s">
        <v>48</v>
      </c>
      <c r="B38" s="53">
        <v>2.8</v>
      </c>
      <c r="C38" s="53">
        <v>86.8</v>
      </c>
      <c r="D38" s="53">
        <v>2</v>
      </c>
      <c r="E38" s="53">
        <v>62.4</v>
      </c>
      <c r="F38" s="53">
        <v>7</v>
      </c>
      <c r="G38" s="53">
        <v>142</v>
      </c>
      <c r="H38" s="53">
        <v>8.4</v>
      </c>
      <c r="I38" s="53">
        <v>91.2</v>
      </c>
      <c r="J38" s="53">
        <v>150.6</v>
      </c>
      <c r="K38" s="53">
        <v>1205</v>
      </c>
      <c r="L38" s="53">
        <v>7.1</v>
      </c>
      <c r="M38" s="53">
        <v>291.5</v>
      </c>
      <c r="N38" s="53">
        <v>19.9</v>
      </c>
      <c r="O38" s="53">
        <v>306.3</v>
      </c>
      <c r="P38" s="53">
        <v>478.1</v>
      </c>
      <c r="Q38" s="53">
        <v>10537.5</v>
      </c>
      <c r="R38" s="53">
        <v>20.3</v>
      </c>
      <c r="S38" s="53">
        <v>233.7</v>
      </c>
      <c r="T38" s="53"/>
      <c r="U38" s="53"/>
      <c r="V38" s="53">
        <v>201.4</v>
      </c>
      <c r="W38" s="53">
        <v>5234</v>
      </c>
      <c r="X38" s="54">
        <f t="shared" si="0"/>
        <v>897.6</v>
      </c>
      <c r="Y38" s="54">
        <f t="shared" si="1"/>
        <v>18190.4</v>
      </c>
      <c r="Z38" s="41"/>
      <c r="AA38" s="41"/>
    </row>
    <row r="39" spans="1:27" ht="12.75">
      <c r="A39" s="52" t="s">
        <v>50</v>
      </c>
      <c r="B39" s="53">
        <v>1.7</v>
      </c>
      <c r="C39" s="53">
        <v>21</v>
      </c>
      <c r="D39" s="53">
        <v>4.4</v>
      </c>
      <c r="E39" s="53">
        <v>55.2</v>
      </c>
      <c r="F39" s="53">
        <v>2.3</v>
      </c>
      <c r="G39" s="53">
        <v>33.8</v>
      </c>
      <c r="H39" s="53">
        <v>2.8</v>
      </c>
      <c r="I39" s="53">
        <v>21.1</v>
      </c>
      <c r="J39" s="53">
        <v>10</v>
      </c>
      <c r="K39" s="53">
        <v>65.5</v>
      </c>
      <c r="L39" s="53">
        <v>8</v>
      </c>
      <c r="M39" s="53">
        <v>86.9</v>
      </c>
      <c r="N39" s="53">
        <v>3.4</v>
      </c>
      <c r="O39" s="53">
        <v>34.8</v>
      </c>
      <c r="P39" s="53">
        <v>23.1</v>
      </c>
      <c r="Q39" s="53">
        <v>471.1</v>
      </c>
      <c r="R39" s="53"/>
      <c r="S39" s="53"/>
      <c r="T39" s="53"/>
      <c r="U39" s="53"/>
      <c r="V39" s="53">
        <v>21.4</v>
      </c>
      <c r="W39" s="53">
        <v>206.1</v>
      </c>
      <c r="X39" s="54">
        <f t="shared" si="0"/>
        <v>77.1</v>
      </c>
      <c r="Y39" s="54">
        <f t="shared" si="1"/>
        <v>995.5000000000001</v>
      </c>
      <c r="Z39" s="41"/>
      <c r="AA39" s="41"/>
    </row>
    <row r="40" spans="1:27" ht="12.75">
      <c r="A40" s="52" t="s">
        <v>51</v>
      </c>
      <c r="B40" s="53">
        <v>152.5</v>
      </c>
      <c r="C40" s="53">
        <v>2698.6</v>
      </c>
      <c r="D40" s="53">
        <v>72.8</v>
      </c>
      <c r="E40" s="53">
        <v>1968.1</v>
      </c>
      <c r="F40" s="53">
        <v>66.1</v>
      </c>
      <c r="G40" s="53">
        <v>1658.2</v>
      </c>
      <c r="H40" s="53">
        <v>68</v>
      </c>
      <c r="I40" s="53">
        <v>762.4</v>
      </c>
      <c r="J40" s="53">
        <v>21.6</v>
      </c>
      <c r="K40" s="53">
        <v>124.5</v>
      </c>
      <c r="L40" s="53">
        <v>51</v>
      </c>
      <c r="M40" s="53">
        <v>868.7</v>
      </c>
      <c r="N40" s="53">
        <v>17.9</v>
      </c>
      <c r="O40" s="53">
        <v>237.5</v>
      </c>
      <c r="P40" s="53">
        <v>407.9</v>
      </c>
      <c r="Q40" s="53">
        <v>5052</v>
      </c>
      <c r="R40" s="53">
        <v>25.8</v>
      </c>
      <c r="S40" s="53">
        <v>208</v>
      </c>
      <c r="T40" s="53"/>
      <c r="U40" s="53"/>
      <c r="V40" s="53">
        <v>428.1</v>
      </c>
      <c r="W40" s="53">
        <v>3562</v>
      </c>
      <c r="X40" s="54">
        <f t="shared" si="0"/>
        <v>1311.6999999999998</v>
      </c>
      <c r="Y40" s="54">
        <f t="shared" si="1"/>
        <v>17140</v>
      </c>
      <c r="Z40" s="41"/>
      <c r="AA40" s="41"/>
    </row>
    <row r="41" spans="1:27" ht="12.75">
      <c r="A41" s="52" t="s">
        <v>13</v>
      </c>
      <c r="B41" s="54">
        <f aca="true" t="shared" si="2" ref="B41:Y41">SUM(B6:B40)</f>
        <v>568.233</v>
      </c>
      <c r="C41" s="54">
        <f t="shared" si="2"/>
        <v>9453.119999999999</v>
      </c>
      <c r="D41" s="54">
        <f t="shared" si="2"/>
        <v>249.022</v>
      </c>
      <c r="E41" s="54">
        <f t="shared" si="2"/>
        <v>5583.6179999999995</v>
      </c>
      <c r="F41" s="54">
        <f t="shared" si="2"/>
        <v>302.145</v>
      </c>
      <c r="G41" s="54">
        <f t="shared" si="2"/>
        <v>5537.905</v>
      </c>
      <c r="H41" s="54">
        <f t="shared" si="2"/>
        <v>396.40099999999995</v>
      </c>
      <c r="I41" s="54">
        <f t="shared" si="2"/>
        <v>4070.2990000000004</v>
      </c>
      <c r="J41" s="54">
        <f t="shared" si="2"/>
        <v>297.494</v>
      </c>
      <c r="K41" s="54">
        <f t="shared" si="2"/>
        <v>2401.853</v>
      </c>
      <c r="L41" s="54">
        <f t="shared" si="2"/>
        <v>596.228</v>
      </c>
      <c r="M41" s="54">
        <f t="shared" si="2"/>
        <v>10054.612</v>
      </c>
      <c r="N41" s="54">
        <f t="shared" si="2"/>
        <v>767.9289999999999</v>
      </c>
      <c r="O41" s="54">
        <f t="shared" si="2"/>
        <v>10847.355</v>
      </c>
      <c r="P41" s="54">
        <f t="shared" si="2"/>
        <v>1742.7930000000001</v>
      </c>
      <c r="Q41" s="54">
        <f t="shared" si="2"/>
        <v>28599.528</v>
      </c>
      <c r="R41" s="54">
        <f t="shared" si="2"/>
        <v>122.654</v>
      </c>
      <c r="S41" s="54">
        <f t="shared" si="2"/>
        <v>1067.129</v>
      </c>
      <c r="T41" s="54">
        <f t="shared" si="2"/>
        <v>255.416</v>
      </c>
      <c r="U41" s="54">
        <f t="shared" si="2"/>
        <v>8232.173</v>
      </c>
      <c r="V41" s="54">
        <f t="shared" si="2"/>
        <v>2282.22165</v>
      </c>
      <c r="W41" s="54">
        <f t="shared" si="2"/>
        <v>29145.698</v>
      </c>
      <c r="X41" s="54">
        <f t="shared" si="2"/>
        <v>7580.536650000001</v>
      </c>
      <c r="Y41" s="54">
        <f t="shared" si="2"/>
        <v>114993.28999999998</v>
      </c>
      <c r="Z41" s="41"/>
      <c r="AA41" s="41"/>
    </row>
    <row r="42" spans="24:25" ht="12.75">
      <c r="X42" s="54">
        <f>B41+D41+F41+H41+J41+L41+N41+P41+R41+T41+V41</f>
        <v>7580.536650000002</v>
      </c>
      <c r="Y42" s="54">
        <f>C41+E41+G41+I41+K41+M41+O41+Q41+S41+U41+W41</f>
        <v>114993.28999999998</v>
      </c>
    </row>
    <row r="43" ht="12.75">
      <c r="A43" s="66"/>
    </row>
    <row r="45" ht="12.75">
      <c r="W45" s="67"/>
    </row>
  </sheetData>
  <sheetProtection/>
  <mergeCells count="15">
    <mergeCell ref="A1:V1"/>
    <mergeCell ref="T2:V2"/>
    <mergeCell ref="T3:W3"/>
    <mergeCell ref="V4:W4"/>
    <mergeCell ref="X4:Y4"/>
    <mergeCell ref="J4:K4"/>
    <mergeCell ref="L4:M4"/>
    <mergeCell ref="N4:O4"/>
    <mergeCell ref="P4:Q4"/>
    <mergeCell ref="R4:S4"/>
    <mergeCell ref="T4:U4"/>
    <mergeCell ref="B4:C4"/>
    <mergeCell ref="D4:E4"/>
    <mergeCell ref="F4:G4"/>
    <mergeCell ref="H4:I4"/>
  </mergeCells>
  <printOptions/>
  <pageMargins left="0.16" right="0.16" top="0.95" bottom="0.75" header="0.46" footer="0.3"/>
  <pageSetup horizontalDpi="600" verticalDpi="600" orientation="landscape" scale="86" r:id="rId1"/>
  <headerFooter alignWithMargins="0">
    <oddHeader>&amp;CArea &amp; Production of Vegetables for the Year 2006-07
&amp;R&amp;"Arial,Bold"&amp;8Area '000' HA
Production '000' MT</oddHeader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96"/>
  <sheetViews>
    <sheetView showZeros="0" view="pageBreakPreview" zoomScaleSheetLayoutView="100" zoomScalePageLayoutView="0" workbookViewId="0" topLeftCell="A1">
      <selection activeCell="P34" sqref="P34"/>
    </sheetView>
  </sheetViews>
  <sheetFormatPr defaultColWidth="9.140625" defaultRowHeight="12.75"/>
  <cols>
    <col min="1" max="1" width="22.00390625" style="42" customWidth="1"/>
    <col min="2" max="2" width="8.8515625" style="42" customWidth="1"/>
    <col min="3" max="3" width="7.57421875" style="42" customWidth="1"/>
    <col min="4" max="5" width="7.421875" style="42" customWidth="1"/>
    <col min="6" max="6" width="7.28125" style="42" customWidth="1"/>
    <col min="7" max="7" width="7.57421875" style="42" customWidth="1"/>
    <col min="8" max="8" width="8.00390625" style="42" customWidth="1"/>
    <col min="9" max="9" width="10.140625" style="42" customWidth="1"/>
    <col min="10" max="10" width="7.28125" style="44" customWidth="1"/>
    <col min="11" max="11" width="8.8515625" style="44" customWidth="1"/>
    <col min="12" max="16384" width="9.140625" style="42" customWidth="1"/>
  </cols>
  <sheetData>
    <row r="1" spans="1:25" s="303" customFormat="1" ht="12.75">
      <c r="A1" s="301" t="s">
        <v>157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157"/>
      <c r="Y1" s="157"/>
    </row>
    <row r="2" spans="1:25" s="303" customFormat="1" ht="12.75">
      <c r="A2" s="302"/>
      <c r="B2" s="302"/>
      <c r="C2" s="302"/>
      <c r="D2" s="302"/>
      <c r="E2" s="302"/>
      <c r="F2" s="302"/>
      <c r="G2" s="302"/>
      <c r="H2" s="302" t="s">
        <v>148</v>
      </c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 t="s">
        <v>148</v>
      </c>
      <c r="U2" s="302"/>
      <c r="V2" s="302"/>
      <c r="W2" s="302"/>
      <c r="X2" s="157"/>
      <c r="Y2" s="157"/>
    </row>
    <row r="3" spans="1:25" s="303" customFormat="1" ht="12.75">
      <c r="A3" s="302"/>
      <c r="B3" s="302"/>
      <c r="C3" s="302"/>
      <c r="D3" s="302"/>
      <c r="E3" s="302"/>
      <c r="F3" s="302"/>
      <c r="G3" s="302"/>
      <c r="H3" s="302" t="s">
        <v>149</v>
      </c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 t="s">
        <v>149</v>
      </c>
      <c r="U3" s="302"/>
      <c r="V3" s="302"/>
      <c r="W3" s="302"/>
      <c r="X3" s="157"/>
      <c r="Y3" s="157"/>
    </row>
    <row r="4" spans="1:11" s="36" customFormat="1" ht="12.75">
      <c r="A4" s="35" t="s">
        <v>63</v>
      </c>
      <c r="B4" s="297" t="s">
        <v>64</v>
      </c>
      <c r="C4" s="297"/>
      <c r="D4" s="297" t="s">
        <v>65</v>
      </c>
      <c r="E4" s="297"/>
      <c r="F4" s="297" t="s">
        <v>66</v>
      </c>
      <c r="G4" s="297"/>
      <c r="H4" s="297" t="s">
        <v>67</v>
      </c>
      <c r="I4" s="297"/>
      <c r="J4" s="297" t="s">
        <v>68</v>
      </c>
      <c r="K4" s="297"/>
    </row>
    <row r="5" spans="1:11" s="38" customFormat="1" ht="12.75">
      <c r="A5" s="35"/>
      <c r="B5" s="37" t="s">
        <v>62</v>
      </c>
      <c r="C5" s="37" t="s">
        <v>15</v>
      </c>
      <c r="D5" s="37" t="s">
        <v>62</v>
      </c>
      <c r="E5" s="37" t="s">
        <v>15</v>
      </c>
      <c r="F5" s="37" t="s">
        <v>62</v>
      </c>
      <c r="G5" s="37" t="s">
        <v>15</v>
      </c>
      <c r="H5" s="37" t="s">
        <v>62</v>
      </c>
      <c r="I5" s="37" t="s">
        <v>15</v>
      </c>
      <c r="J5" s="37" t="s">
        <v>62</v>
      </c>
      <c r="K5" s="37" t="s">
        <v>15</v>
      </c>
    </row>
    <row r="6" spans="1:27" ht="12.75">
      <c r="A6" s="35"/>
      <c r="B6" s="39"/>
      <c r="C6" s="39"/>
      <c r="D6" s="39"/>
      <c r="E6" s="39"/>
      <c r="F6" s="39"/>
      <c r="G6" s="39"/>
      <c r="H6" s="39"/>
      <c r="I6" s="39"/>
      <c r="J6" s="40"/>
      <c r="K6" s="40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12.75">
      <c r="A7" s="40" t="s">
        <v>69</v>
      </c>
      <c r="B7" s="39"/>
      <c r="C7" s="39"/>
      <c r="D7" s="39">
        <v>4.1</v>
      </c>
      <c r="E7" s="39">
        <v>5.8</v>
      </c>
      <c r="F7" s="39"/>
      <c r="G7" s="39"/>
      <c r="H7" s="39">
        <v>21.4</v>
      </c>
      <c r="I7" s="39">
        <v>61.24246511243841</v>
      </c>
      <c r="J7" s="43">
        <v>25.5</v>
      </c>
      <c r="K7" s="43">
        <f aca="true" t="shared" si="0" ref="K7:K41">C7+E7+G7+I7</f>
        <v>67.0424651124384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12.75">
      <c r="A8" s="40" t="s">
        <v>17</v>
      </c>
      <c r="B8" s="39">
        <v>171</v>
      </c>
      <c r="C8" s="39">
        <v>99</v>
      </c>
      <c r="D8" s="39">
        <v>0.3</v>
      </c>
      <c r="E8" s="39">
        <v>0.2</v>
      </c>
      <c r="F8" s="39">
        <v>11.9</v>
      </c>
      <c r="G8" s="39">
        <v>1.52</v>
      </c>
      <c r="H8" s="39">
        <v>105</v>
      </c>
      <c r="I8" s="39">
        <v>912.4439184167791</v>
      </c>
      <c r="J8" s="40">
        <v>288.2</v>
      </c>
      <c r="K8" s="40">
        <f t="shared" si="0"/>
        <v>1013.1639184167791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ht="12.75">
      <c r="A9" s="40" t="s">
        <v>18</v>
      </c>
      <c r="B9" s="39"/>
      <c r="C9" s="39"/>
      <c r="D9" s="39"/>
      <c r="E9" s="39"/>
      <c r="F9" s="39"/>
      <c r="G9" s="39"/>
      <c r="H9" s="39"/>
      <c r="I9" s="39"/>
      <c r="J9" s="40">
        <v>0</v>
      </c>
      <c r="K9" s="40">
        <f t="shared" si="0"/>
        <v>0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ht="12.75">
      <c r="A10" s="40" t="s">
        <v>19</v>
      </c>
      <c r="B10" s="39">
        <v>15</v>
      </c>
      <c r="C10" s="39">
        <v>11</v>
      </c>
      <c r="D10" s="39">
        <v>71</v>
      </c>
      <c r="E10" s="39">
        <v>65</v>
      </c>
      <c r="F10" s="39"/>
      <c r="G10" s="39"/>
      <c r="H10" s="39">
        <v>19</v>
      </c>
      <c r="I10" s="39">
        <v>105.28199058655143</v>
      </c>
      <c r="J10" s="40">
        <v>105</v>
      </c>
      <c r="K10" s="40">
        <f t="shared" si="0"/>
        <v>181.28199058655144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12.75">
      <c r="A11" s="40" t="s">
        <v>20</v>
      </c>
      <c r="B11" s="39"/>
      <c r="C11" s="39"/>
      <c r="D11" s="39"/>
      <c r="E11" s="39"/>
      <c r="F11" s="39"/>
      <c r="G11" s="39"/>
      <c r="H11" s="39"/>
      <c r="I11" s="39"/>
      <c r="J11" s="40">
        <v>0</v>
      </c>
      <c r="K11" s="40">
        <f t="shared" si="0"/>
        <v>0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ht="12.75">
      <c r="A12" s="40" t="s">
        <v>21</v>
      </c>
      <c r="B12" s="39"/>
      <c r="C12" s="39"/>
      <c r="D12" s="39"/>
      <c r="E12" s="39"/>
      <c r="F12" s="39"/>
      <c r="G12" s="39"/>
      <c r="H12" s="39"/>
      <c r="I12" s="39"/>
      <c r="J12" s="40">
        <v>0</v>
      </c>
      <c r="K12" s="40">
        <f t="shared" si="0"/>
        <v>0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ht="12.75">
      <c r="A13" s="40" t="s">
        <v>70</v>
      </c>
      <c r="B13" s="39"/>
      <c r="C13" s="39"/>
      <c r="D13" s="39"/>
      <c r="E13" s="39"/>
      <c r="F13" s="39"/>
      <c r="G13" s="39"/>
      <c r="H13" s="39"/>
      <c r="I13" s="39"/>
      <c r="J13" s="40">
        <v>0</v>
      </c>
      <c r="K13" s="40">
        <f t="shared" si="0"/>
        <v>0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ht="12.75">
      <c r="A14" s="40" t="s">
        <v>23</v>
      </c>
      <c r="B14" s="39"/>
      <c r="C14" s="39"/>
      <c r="D14" s="39"/>
      <c r="E14" s="39"/>
      <c r="F14" s="39"/>
      <c r="G14" s="39"/>
      <c r="H14" s="39"/>
      <c r="I14" s="39"/>
      <c r="J14" s="40">
        <v>0</v>
      </c>
      <c r="K14" s="40">
        <f t="shared" si="0"/>
        <v>0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ht="12.75">
      <c r="A15" s="40" t="s">
        <v>24</v>
      </c>
      <c r="B15" s="39"/>
      <c r="C15" s="39"/>
      <c r="D15" s="39"/>
      <c r="E15" s="39"/>
      <c r="F15" s="39"/>
      <c r="G15" s="39"/>
      <c r="H15" s="39"/>
      <c r="I15" s="39"/>
      <c r="J15" s="40">
        <v>0</v>
      </c>
      <c r="K15" s="40">
        <f t="shared" si="0"/>
        <v>0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ht="12.75">
      <c r="A16" s="40" t="s">
        <v>25</v>
      </c>
      <c r="B16" s="39"/>
      <c r="C16" s="39"/>
      <c r="D16" s="39"/>
      <c r="E16" s="39"/>
      <c r="F16" s="39"/>
      <c r="G16" s="39"/>
      <c r="H16" s="39"/>
      <c r="I16" s="39"/>
      <c r="J16" s="40">
        <v>0</v>
      </c>
      <c r="K16" s="40">
        <f t="shared" si="0"/>
        <v>0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ht="12.75">
      <c r="A17" s="40" t="s">
        <v>26</v>
      </c>
      <c r="B17" s="39">
        <v>55</v>
      </c>
      <c r="C17" s="39">
        <v>29</v>
      </c>
      <c r="D17" s="39">
        <v>1.7</v>
      </c>
      <c r="E17" s="39">
        <v>2.6</v>
      </c>
      <c r="F17" s="39"/>
      <c r="G17" s="39"/>
      <c r="H17" s="39">
        <v>25.5</v>
      </c>
      <c r="I17" s="39">
        <v>87.1844980870331</v>
      </c>
      <c r="J17" s="40">
        <v>82.2</v>
      </c>
      <c r="K17" s="40">
        <f t="shared" si="0"/>
        <v>118.78449808703311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ht="12.75">
      <c r="A18" s="40" t="s">
        <v>27</v>
      </c>
      <c r="B18" s="39">
        <v>4</v>
      </c>
      <c r="C18" s="39">
        <v>4</v>
      </c>
      <c r="D18" s="39"/>
      <c r="E18" s="39"/>
      <c r="F18" s="39"/>
      <c r="G18" s="39"/>
      <c r="H18" s="39">
        <v>16.4</v>
      </c>
      <c r="I18" s="39">
        <v>95.1666620792161</v>
      </c>
      <c r="J18" s="40">
        <v>20.4</v>
      </c>
      <c r="K18" s="40">
        <f t="shared" si="0"/>
        <v>99.1666620792161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ht="12.75">
      <c r="A19" s="40" t="s">
        <v>28</v>
      </c>
      <c r="B19" s="39"/>
      <c r="C19" s="39"/>
      <c r="D19" s="39"/>
      <c r="E19" s="39"/>
      <c r="F19" s="39"/>
      <c r="G19" s="39"/>
      <c r="H19" s="39"/>
      <c r="I19" s="39"/>
      <c r="J19" s="40">
        <v>0</v>
      </c>
      <c r="K19" s="40">
        <f t="shared" si="0"/>
        <v>0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ht="12.75">
      <c r="A20" s="40" t="s">
        <v>29</v>
      </c>
      <c r="B20" s="39"/>
      <c r="C20" s="39"/>
      <c r="D20" s="39"/>
      <c r="E20" s="39"/>
      <c r="F20" s="39"/>
      <c r="G20" s="39"/>
      <c r="H20" s="39"/>
      <c r="I20" s="39"/>
      <c r="J20" s="40">
        <v>0</v>
      </c>
      <c r="K20" s="40">
        <f t="shared" si="0"/>
        <v>0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ht="12.75">
      <c r="A21" s="40" t="s">
        <v>30</v>
      </c>
      <c r="B21" s="39"/>
      <c r="C21" s="39"/>
      <c r="D21" s="39"/>
      <c r="E21" s="39"/>
      <c r="F21" s="39"/>
      <c r="G21" s="39"/>
      <c r="H21" s="39"/>
      <c r="I21" s="39"/>
      <c r="J21" s="40">
        <v>0</v>
      </c>
      <c r="K21" s="40">
        <f t="shared" si="0"/>
        <v>0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ht="12.75">
      <c r="A22" s="40" t="s">
        <v>31</v>
      </c>
      <c r="B22" s="39"/>
      <c r="C22" s="39"/>
      <c r="D22" s="39"/>
      <c r="E22" s="39"/>
      <c r="F22" s="39"/>
      <c r="G22" s="39"/>
      <c r="H22" s="39"/>
      <c r="I22" s="39"/>
      <c r="J22" s="40">
        <v>0</v>
      </c>
      <c r="K22" s="40">
        <f t="shared" si="0"/>
        <v>0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ht="12.75">
      <c r="A23" s="40" t="s">
        <v>32</v>
      </c>
      <c r="B23" s="39">
        <v>102</v>
      </c>
      <c r="C23" s="39">
        <v>52</v>
      </c>
      <c r="D23" s="39">
        <v>168</v>
      </c>
      <c r="E23" s="39">
        <v>224</v>
      </c>
      <c r="F23" s="39">
        <v>6.8</v>
      </c>
      <c r="G23" s="39">
        <v>2.65</v>
      </c>
      <c r="H23" s="39">
        <v>401</v>
      </c>
      <c r="I23" s="39">
        <v>1118.1910764911509</v>
      </c>
      <c r="J23" s="40">
        <v>677.8</v>
      </c>
      <c r="K23" s="40">
        <f t="shared" si="0"/>
        <v>1396.841076491151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ht="12.75">
      <c r="A24" s="40" t="s">
        <v>33</v>
      </c>
      <c r="B24" s="39">
        <v>80</v>
      </c>
      <c r="C24" s="39">
        <v>72</v>
      </c>
      <c r="D24" s="39">
        <v>102.1</v>
      </c>
      <c r="E24" s="39">
        <v>110</v>
      </c>
      <c r="F24" s="39">
        <v>10.22</v>
      </c>
      <c r="G24" s="39">
        <v>5.8</v>
      </c>
      <c r="H24" s="39">
        <v>870.9</v>
      </c>
      <c r="I24" s="39">
        <v>4165.863862816878</v>
      </c>
      <c r="J24" s="40">
        <v>1063.2</v>
      </c>
      <c r="K24" s="40">
        <f t="shared" si="0"/>
        <v>4353.6638628168785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12.75">
      <c r="A25" s="40" t="s">
        <v>71</v>
      </c>
      <c r="B25" s="39"/>
      <c r="C25" s="39"/>
      <c r="D25" s="39"/>
      <c r="E25" s="39"/>
      <c r="F25" s="39"/>
      <c r="G25" s="39"/>
      <c r="H25" s="39">
        <v>2.7</v>
      </c>
      <c r="I25" s="39">
        <v>36.47023203324984</v>
      </c>
      <c r="J25" s="43">
        <v>2.7</v>
      </c>
      <c r="K25" s="43">
        <f t="shared" si="0"/>
        <v>36.47023203324984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2.75">
      <c r="A26" s="40" t="s">
        <v>35</v>
      </c>
      <c r="B26" s="39"/>
      <c r="C26" s="39"/>
      <c r="D26" s="39"/>
      <c r="E26" s="39"/>
      <c r="F26" s="39"/>
      <c r="G26" s="39"/>
      <c r="H26" s="39"/>
      <c r="I26" s="39"/>
      <c r="J26" s="40">
        <v>0</v>
      </c>
      <c r="K26" s="40">
        <f t="shared" si="0"/>
        <v>0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ht="12.75">
      <c r="A27" s="40" t="s">
        <v>36</v>
      </c>
      <c r="B27" s="39">
        <v>164</v>
      </c>
      <c r="C27" s="39">
        <v>197</v>
      </c>
      <c r="D27" s="39">
        <v>2.3</v>
      </c>
      <c r="E27" s="39">
        <v>3.6</v>
      </c>
      <c r="F27" s="39"/>
      <c r="G27" s="39"/>
      <c r="H27" s="39">
        <v>21</v>
      </c>
      <c r="I27" s="39">
        <v>120.48938922683108</v>
      </c>
      <c r="J27" s="40">
        <v>187.3</v>
      </c>
      <c r="K27" s="40">
        <f t="shared" si="0"/>
        <v>321.0893892268311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ht="12.75">
      <c r="A28" s="40" t="s">
        <v>37</v>
      </c>
      <c r="B28" s="39"/>
      <c r="C28" s="39"/>
      <c r="D28" s="39"/>
      <c r="E28" s="39"/>
      <c r="F28" s="39"/>
      <c r="G28" s="39"/>
      <c r="H28" s="39"/>
      <c r="I28" s="39"/>
      <c r="J28" s="40">
        <v>0</v>
      </c>
      <c r="K28" s="40">
        <f t="shared" si="0"/>
        <v>0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ht="12.75">
      <c r="A29" s="40" t="s">
        <v>38</v>
      </c>
      <c r="B29" s="39"/>
      <c r="C29" s="39"/>
      <c r="D29" s="39">
        <v>12</v>
      </c>
      <c r="E29" s="39">
        <v>16.6</v>
      </c>
      <c r="F29" s="39"/>
      <c r="G29" s="39"/>
      <c r="H29" s="39"/>
      <c r="I29" s="39"/>
      <c r="J29" s="43">
        <v>12</v>
      </c>
      <c r="K29" s="43">
        <f t="shared" si="0"/>
        <v>16.6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ht="12.75">
      <c r="A30" s="40" t="s">
        <v>39</v>
      </c>
      <c r="B30" s="39"/>
      <c r="C30" s="39"/>
      <c r="D30" s="39">
        <v>2</v>
      </c>
      <c r="E30" s="39">
        <v>5.3</v>
      </c>
      <c r="F30" s="39"/>
      <c r="G30" s="39"/>
      <c r="H30" s="39"/>
      <c r="I30" s="39"/>
      <c r="J30" s="43">
        <v>2</v>
      </c>
      <c r="K30" s="43">
        <f t="shared" si="0"/>
        <v>5.3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ht="12.75">
      <c r="A31" s="40" t="s">
        <v>40</v>
      </c>
      <c r="B31" s="39"/>
      <c r="C31" s="39"/>
      <c r="D31" s="39">
        <v>0.2</v>
      </c>
      <c r="E31" s="39">
        <v>1.3</v>
      </c>
      <c r="F31" s="39"/>
      <c r="G31" s="39"/>
      <c r="H31" s="39">
        <v>0.9</v>
      </c>
      <c r="I31" s="39">
        <v>0.13762351710660317</v>
      </c>
      <c r="J31" s="43">
        <v>1.1</v>
      </c>
      <c r="K31" s="43">
        <f t="shared" si="0"/>
        <v>1.4376235171066032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ht="12.75">
      <c r="A32" s="40" t="s">
        <v>72</v>
      </c>
      <c r="B32" s="39">
        <v>125</v>
      </c>
      <c r="C32" s="39">
        <v>84</v>
      </c>
      <c r="D32" s="39"/>
      <c r="E32" s="39"/>
      <c r="F32" s="39"/>
      <c r="G32" s="39"/>
      <c r="H32" s="39">
        <v>51</v>
      </c>
      <c r="I32" s="39">
        <v>189.78283009000577</v>
      </c>
      <c r="J32" s="40">
        <v>176</v>
      </c>
      <c r="K32" s="40">
        <f t="shared" si="0"/>
        <v>273.78283009000575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ht="12.75">
      <c r="A33" s="40" t="s">
        <v>42</v>
      </c>
      <c r="B33" s="39">
        <v>5</v>
      </c>
      <c r="C33" s="39">
        <v>2</v>
      </c>
      <c r="D33" s="39">
        <v>0.1</v>
      </c>
      <c r="E33" s="39">
        <v>0.1</v>
      </c>
      <c r="F33" s="39"/>
      <c r="G33" s="39"/>
      <c r="H33" s="39">
        <v>2.1</v>
      </c>
      <c r="I33" s="39">
        <v>13.21081214140207</v>
      </c>
      <c r="J33" s="43">
        <v>7.2</v>
      </c>
      <c r="K33" s="43">
        <f t="shared" si="0"/>
        <v>15.310812141402069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 ht="12.75">
      <c r="A34" s="40" t="s">
        <v>43</v>
      </c>
      <c r="B34" s="39"/>
      <c r="C34" s="39"/>
      <c r="D34" s="39"/>
      <c r="E34" s="39"/>
      <c r="F34" s="39"/>
      <c r="G34" s="39"/>
      <c r="H34" s="39"/>
      <c r="I34" s="39"/>
      <c r="J34" s="40">
        <v>0</v>
      </c>
      <c r="K34" s="40">
        <f t="shared" si="0"/>
        <v>0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ht="12.75">
      <c r="A35" s="40" t="s">
        <v>44</v>
      </c>
      <c r="B35" s="39"/>
      <c r="C35" s="39"/>
      <c r="D35" s="39"/>
      <c r="E35" s="39"/>
      <c r="F35" s="39"/>
      <c r="G35" s="39"/>
      <c r="H35" s="39"/>
      <c r="I35" s="39"/>
      <c r="J35" s="40">
        <v>0</v>
      </c>
      <c r="K35" s="40">
        <f t="shared" si="0"/>
        <v>0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ht="12.75">
      <c r="A36" s="40" t="s">
        <v>45</v>
      </c>
      <c r="B36" s="39"/>
      <c r="C36" s="39"/>
      <c r="D36" s="39"/>
      <c r="E36" s="39"/>
      <c r="F36" s="39"/>
      <c r="G36" s="39"/>
      <c r="H36" s="39"/>
      <c r="I36" s="39"/>
      <c r="J36" s="40">
        <v>0</v>
      </c>
      <c r="K36" s="40">
        <f t="shared" si="0"/>
        <v>0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 ht="12.75">
      <c r="A37" s="40" t="s">
        <v>73</v>
      </c>
      <c r="B37" s="39">
        <v>123</v>
      </c>
      <c r="C37" s="39">
        <v>60</v>
      </c>
      <c r="D37" s="39">
        <v>5.5</v>
      </c>
      <c r="E37" s="39">
        <v>11.9</v>
      </c>
      <c r="F37" s="39">
        <v>1.421</v>
      </c>
      <c r="G37" s="39">
        <v>0.21</v>
      </c>
      <c r="H37" s="39">
        <v>374.6</v>
      </c>
      <c r="I37" s="39">
        <v>3736.4096776857227</v>
      </c>
      <c r="J37" s="40">
        <v>504.5</v>
      </c>
      <c r="K37" s="40">
        <f t="shared" si="0"/>
        <v>3808.519677685723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ht="12.75">
      <c r="A38" s="40" t="s">
        <v>47</v>
      </c>
      <c r="B38" s="39"/>
      <c r="C38" s="39"/>
      <c r="D38" s="39">
        <v>3.4</v>
      </c>
      <c r="E38" s="39">
        <v>6.9</v>
      </c>
      <c r="F38" s="39"/>
      <c r="G38" s="39"/>
      <c r="H38" s="39">
        <v>3.3</v>
      </c>
      <c r="I38" s="39">
        <v>4.816823098731112</v>
      </c>
      <c r="J38" s="43">
        <v>6.7</v>
      </c>
      <c r="K38" s="43">
        <f t="shared" si="0"/>
        <v>11.716823098731112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 ht="12.75">
      <c r="A39" s="40" t="s">
        <v>48</v>
      </c>
      <c r="B39" s="39"/>
      <c r="C39" s="39"/>
      <c r="D39" s="39"/>
      <c r="E39" s="39"/>
      <c r="F39" s="39"/>
      <c r="G39" s="39"/>
      <c r="H39" s="39"/>
      <c r="I39" s="39"/>
      <c r="J39" s="40">
        <v>0</v>
      </c>
      <c r="K39" s="40">
        <f t="shared" si="0"/>
        <v>0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 ht="12.75">
      <c r="A40" s="40" t="s">
        <v>50</v>
      </c>
      <c r="B40" s="39"/>
      <c r="C40" s="39"/>
      <c r="D40" s="39"/>
      <c r="E40" s="39"/>
      <c r="F40" s="39"/>
      <c r="G40" s="39"/>
      <c r="H40" s="39"/>
      <c r="I40" s="39"/>
      <c r="J40" s="40">
        <v>0</v>
      </c>
      <c r="K40" s="40">
        <f t="shared" si="0"/>
        <v>0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 ht="12.75">
      <c r="A41" s="40" t="s">
        <v>51</v>
      </c>
      <c r="B41" s="39">
        <v>10</v>
      </c>
      <c r="C41" s="39">
        <v>10</v>
      </c>
      <c r="D41" s="39">
        <v>10</v>
      </c>
      <c r="E41" s="39">
        <v>30</v>
      </c>
      <c r="F41" s="39"/>
      <c r="G41" s="39"/>
      <c r="H41" s="39">
        <v>25.1</v>
      </c>
      <c r="I41" s="39">
        <v>247.103024964906</v>
      </c>
      <c r="J41" s="40">
        <v>45.1</v>
      </c>
      <c r="K41" s="40">
        <f t="shared" si="0"/>
        <v>287.103024964906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11" s="44" customFormat="1" ht="12.75">
      <c r="A42" s="40" t="s">
        <v>13</v>
      </c>
      <c r="B42" s="40">
        <f aca="true" t="shared" si="1" ref="B42:K42">SUM(B7:B41)</f>
        <v>854</v>
      </c>
      <c r="C42" s="40">
        <f t="shared" si="1"/>
        <v>620</v>
      </c>
      <c r="D42" s="40">
        <f t="shared" si="1"/>
        <v>382.70000000000005</v>
      </c>
      <c r="E42" s="40">
        <f t="shared" si="1"/>
        <v>483.30000000000007</v>
      </c>
      <c r="F42" s="40">
        <f t="shared" si="1"/>
        <v>30.341</v>
      </c>
      <c r="G42" s="40">
        <f t="shared" si="1"/>
        <v>10.18</v>
      </c>
      <c r="H42" s="40">
        <f t="shared" si="1"/>
        <v>1939.8999999999999</v>
      </c>
      <c r="I42" s="40">
        <f t="shared" si="1"/>
        <v>10893.794886348001</v>
      </c>
      <c r="J42" s="40">
        <f t="shared" si="1"/>
        <v>3206.8999999999996</v>
      </c>
      <c r="K42" s="40">
        <f t="shared" si="1"/>
        <v>12007.274886348005</v>
      </c>
    </row>
    <row r="43" spans="1:11" ht="12.75">
      <c r="A43" s="41"/>
      <c r="B43" s="41"/>
      <c r="C43" s="41"/>
      <c r="D43" s="41"/>
      <c r="E43" s="41"/>
      <c r="F43" s="41"/>
      <c r="G43" s="41"/>
      <c r="H43" s="41"/>
      <c r="I43" s="41"/>
      <c r="J43" s="45"/>
      <c r="K43" s="45"/>
    </row>
    <row r="44" spans="1:11" ht="12.75">
      <c r="A44" s="41"/>
      <c r="B44" s="41"/>
      <c r="C44" s="41"/>
      <c r="D44" s="41"/>
      <c r="E44" s="41"/>
      <c r="F44" s="41"/>
      <c r="G44" s="41"/>
      <c r="H44" s="41"/>
      <c r="I44" s="41"/>
      <c r="J44" s="45"/>
      <c r="K44" s="45"/>
    </row>
    <row r="45" spans="1:11" ht="12.75">
      <c r="A45" s="41"/>
      <c r="B45" s="41"/>
      <c r="C45" s="41"/>
      <c r="D45" s="41"/>
      <c r="E45" s="41"/>
      <c r="F45" s="41"/>
      <c r="G45" s="41"/>
      <c r="H45" s="41"/>
      <c r="I45" s="41"/>
      <c r="J45" s="45"/>
      <c r="K45" s="45"/>
    </row>
    <row r="46" spans="1:11" ht="12.75">
      <c r="A46" s="41"/>
      <c r="B46" s="41"/>
      <c r="C46" s="41"/>
      <c r="D46" s="41"/>
      <c r="E46" s="41"/>
      <c r="F46" s="41"/>
      <c r="G46" s="41"/>
      <c r="H46" s="41"/>
      <c r="I46" s="41"/>
      <c r="J46" s="45"/>
      <c r="K46" s="45"/>
    </row>
    <row r="47" spans="1:11" ht="12.75">
      <c r="A47" s="41"/>
      <c r="B47" s="41"/>
      <c r="C47" s="41"/>
      <c r="D47" s="41"/>
      <c r="E47" s="41"/>
      <c r="F47" s="41"/>
      <c r="G47" s="41"/>
      <c r="H47" s="41"/>
      <c r="I47" s="41"/>
      <c r="J47" s="45"/>
      <c r="K47" s="45"/>
    </row>
    <row r="48" spans="1:11" ht="12.75">
      <c r="A48" s="41"/>
      <c r="B48" s="41"/>
      <c r="C48" s="41"/>
      <c r="D48" s="41"/>
      <c r="E48" s="41"/>
      <c r="F48" s="41"/>
      <c r="G48" s="41"/>
      <c r="H48" s="41"/>
      <c r="I48" s="41"/>
      <c r="J48" s="45"/>
      <c r="K48" s="45"/>
    </row>
    <row r="61" ht="12.75">
      <c r="C61" s="46"/>
    </row>
    <row r="62" ht="12.75">
      <c r="C62" s="46"/>
    </row>
    <row r="63" ht="12.75">
      <c r="C63" s="46"/>
    </row>
    <row r="64" ht="12.75">
      <c r="C64" s="46"/>
    </row>
    <row r="65" ht="12.75">
      <c r="C65" s="46"/>
    </row>
    <row r="66" ht="12.75">
      <c r="C66" s="46"/>
    </row>
    <row r="67" ht="12.75">
      <c r="C67" s="46"/>
    </row>
    <row r="68" ht="12.75">
      <c r="C68" s="46"/>
    </row>
    <row r="69" ht="12.75">
      <c r="C69" s="46"/>
    </row>
    <row r="70" ht="12.75">
      <c r="C70" s="46"/>
    </row>
    <row r="71" ht="12.75">
      <c r="C71" s="46"/>
    </row>
    <row r="72" ht="12.75">
      <c r="C72" s="46"/>
    </row>
    <row r="73" ht="12.75">
      <c r="C73" s="46"/>
    </row>
    <row r="74" ht="12.75">
      <c r="C74" s="46"/>
    </row>
    <row r="75" ht="12.75">
      <c r="C75" s="46"/>
    </row>
    <row r="76" ht="12.75">
      <c r="C76" s="46"/>
    </row>
    <row r="77" ht="12.75">
      <c r="C77" s="46"/>
    </row>
    <row r="78" ht="12.75">
      <c r="C78" s="46"/>
    </row>
    <row r="79" ht="12.75">
      <c r="C79" s="46"/>
    </row>
    <row r="80" ht="12.75">
      <c r="C80" s="46"/>
    </row>
    <row r="81" ht="12.75">
      <c r="C81" s="46"/>
    </row>
    <row r="82" ht="12.75">
      <c r="C82" s="46"/>
    </row>
    <row r="83" ht="12.75">
      <c r="C83" s="46"/>
    </row>
    <row r="84" ht="12.75">
      <c r="C84" s="46"/>
    </row>
    <row r="85" ht="12.75">
      <c r="C85" s="46"/>
    </row>
    <row r="86" ht="12.75">
      <c r="C86" s="46"/>
    </row>
    <row r="87" ht="12.75">
      <c r="C87" s="46"/>
    </row>
    <row r="88" ht="12.75">
      <c r="C88" s="46"/>
    </row>
    <row r="89" ht="12.75">
      <c r="C89" s="46"/>
    </row>
    <row r="90" ht="12.75">
      <c r="C90" s="46"/>
    </row>
    <row r="91" ht="12.75">
      <c r="C91" s="46"/>
    </row>
    <row r="92" ht="12.75">
      <c r="C92" s="46"/>
    </row>
    <row r="93" ht="12.75">
      <c r="C93" s="46"/>
    </row>
    <row r="94" ht="12.75">
      <c r="C94" s="46"/>
    </row>
    <row r="95" ht="12.75">
      <c r="C95" s="46"/>
    </row>
    <row r="96" ht="12.75">
      <c r="C96" s="46"/>
    </row>
  </sheetData>
  <sheetProtection/>
  <mergeCells count="6">
    <mergeCell ref="A1:K1"/>
    <mergeCell ref="J4:K4"/>
    <mergeCell ref="B4:C4"/>
    <mergeCell ref="D4:E4"/>
    <mergeCell ref="F4:G4"/>
    <mergeCell ref="H4:I4"/>
  </mergeCells>
  <printOptions/>
  <pageMargins left="1.35" right="0.7" top="0.73" bottom="0.62" header="0.37" footer="0.31"/>
  <pageSetup horizontalDpi="600" verticalDpi="600" orientation="landscape" scale="98" r:id="rId1"/>
  <headerFooter alignWithMargins="0">
    <oddHeader>&amp;CArea &amp; Production of Plantations for the Year 2006-07&amp;R&amp;"Arial,Bold"&amp;8Area in '000' HA
Prodcution in '000' MT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view="pageBreakPreview" zoomScaleSheetLayoutView="100" zoomScalePageLayoutView="0" workbookViewId="0" topLeftCell="A1">
      <pane ySplit="4" topLeftCell="BM6" activePane="bottomLeft" state="frozen"/>
      <selection pane="topLeft" activeCell="A1" sqref="A1:IV16384"/>
      <selection pane="bottomLeft" activeCell="U47" sqref="U47"/>
    </sheetView>
  </sheetViews>
  <sheetFormatPr defaultColWidth="9.140625" defaultRowHeight="12.75"/>
  <cols>
    <col min="1" max="1" width="20.28125" style="261" customWidth="1"/>
    <col min="2" max="2" width="7.57421875" style="242" bestFit="1" customWidth="1"/>
    <col min="3" max="3" width="8.57421875" style="242" bestFit="1" customWidth="1"/>
    <col min="4" max="4" width="7.57421875" style="252" bestFit="1" customWidth="1"/>
    <col min="5" max="5" width="9.57421875" style="252" bestFit="1" customWidth="1"/>
    <col min="6" max="6" width="7.7109375" style="252" customWidth="1"/>
    <col min="7" max="7" width="7.421875" style="252" bestFit="1" customWidth="1"/>
    <col min="8" max="8" width="8.00390625" style="252" customWidth="1"/>
    <col min="9" max="9" width="8.421875" style="252" customWidth="1"/>
    <col min="10" max="10" width="5.140625" style="252" customWidth="1"/>
    <col min="11" max="11" width="5.8515625" style="259" customWidth="1"/>
    <col min="12" max="12" width="5.7109375" style="259" customWidth="1"/>
    <col min="13" max="13" width="10.28125" style="241" customWidth="1"/>
    <col min="14" max="14" width="9.140625" style="241" bestFit="1" customWidth="1"/>
    <col min="15" max="15" width="7.421875" style="252" customWidth="1"/>
    <col min="16" max="16" width="7.57421875" style="252" customWidth="1"/>
    <col min="17" max="18" width="8.140625" style="252" hidden="1" customWidth="1"/>
    <col min="19" max="19" width="8.00390625" style="252" customWidth="1"/>
    <col min="20" max="20" width="6.8515625" style="252" customWidth="1"/>
    <col min="21" max="21" width="7.421875" style="261" bestFit="1" customWidth="1"/>
    <col min="22" max="22" width="8.8515625" style="261" customWidth="1"/>
    <col min="23" max="16384" width="9.140625" style="241" customWidth="1"/>
  </cols>
  <sheetData>
    <row r="1" spans="1:22" ht="12">
      <c r="A1" s="298" t="s">
        <v>147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</row>
    <row r="2" spans="20:22" ht="12">
      <c r="T2" s="299" t="s">
        <v>148</v>
      </c>
      <c r="U2" s="299"/>
      <c r="V2" s="299"/>
    </row>
    <row r="3" spans="20:22" ht="12">
      <c r="T3" s="300" t="s">
        <v>149</v>
      </c>
      <c r="U3" s="300"/>
      <c r="V3" s="300"/>
    </row>
    <row r="4" spans="1:22" s="226" customFormat="1" ht="29.25" customHeight="1">
      <c r="A4" s="223" t="s">
        <v>63</v>
      </c>
      <c r="B4" s="272" t="s">
        <v>74</v>
      </c>
      <c r="C4" s="272"/>
      <c r="D4" s="273" t="s">
        <v>75</v>
      </c>
      <c r="E4" s="273"/>
      <c r="F4" s="273" t="s">
        <v>76</v>
      </c>
      <c r="G4" s="273"/>
      <c r="H4" s="273"/>
      <c r="I4" s="273" t="s">
        <v>77</v>
      </c>
      <c r="J4" s="273"/>
      <c r="K4" s="272" t="s">
        <v>78</v>
      </c>
      <c r="L4" s="272"/>
      <c r="M4" s="273" t="s">
        <v>79</v>
      </c>
      <c r="N4" s="273"/>
      <c r="O4" s="272" t="s">
        <v>80</v>
      </c>
      <c r="P4" s="272"/>
      <c r="Q4" s="224"/>
      <c r="R4" s="224"/>
      <c r="S4" s="224" t="s">
        <v>81</v>
      </c>
      <c r="T4" s="225" t="s">
        <v>82</v>
      </c>
      <c r="U4" s="274" t="s">
        <v>13</v>
      </c>
      <c r="V4" s="275"/>
    </row>
    <row r="5" spans="1:22" s="226" customFormat="1" ht="12.75" customHeight="1">
      <c r="A5" s="227"/>
      <c r="B5" s="227" t="s">
        <v>62</v>
      </c>
      <c r="C5" s="227" t="s">
        <v>15</v>
      </c>
      <c r="D5" s="227" t="s">
        <v>62</v>
      </c>
      <c r="E5" s="227" t="s">
        <v>15</v>
      </c>
      <c r="F5" s="227" t="s">
        <v>62</v>
      </c>
      <c r="G5" s="276" t="s">
        <v>15</v>
      </c>
      <c r="H5" s="277"/>
      <c r="I5" s="227" t="s">
        <v>62</v>
      </c>
      <c r="J5" s="227" t="s">
        <v>15</v>
      </c>
      <c r="K5" s="227" t="s">
        <v>62</v>
      </c>
      <c r="L5" s="227" t="s">
        <v>15</v>
      </c>
      <c r="M5" s="227" t="s">
        <v>62</v>
      </c>
      <c r="N5" s="227" t="s">
        <v>15</v>
      </c>
      <c r="O5" s="227" t="s">
        <v>62</v>
      </c>
      <c r="P5" s="227" t="s">
        <v>15</v>
      </c>
      <c r="Q5" s="227" t="s">
        <v>15</v>
      </c>
      <c r="R5" s="227" t="s">
        <v>62</v>
      </c>
      <c r="S5" s="227" t="s">
        <v>15</v>
      </c>
      <c r="T5" s="227" t="s">
        <v>15</v>
      </c>
      <c r="U5" s="227" t="s">
        <v>62</v>
      </c>
      <c r="V5" s="227" t="s">
        <v>15</v>
      </c>
    </row>
    <row r="6" spans="1:22" s="231" customFormat="1" ht="14.25" customHeight="1">
      <c r="A6" s="227"/>
      <c r="B6" s="228"/>
      <c r="C6" s="228"/>
      <c r="D6" s="228"/>
      <c r="E6" s="228"/>
      <c r="F6" s="228"/>
      <c r="G6" s="227" t="s">
        <v>83</v>
      </c>
      <c r="H6" s="227" t="s">
        <v>84</v>
      </c>
      <c r="I6" s="228"/>
      <c r="J6" s="228"/>
      <c r="K6" s="228"/>
      <c r="L6" s="228"/>
      <c r="M6" s="228"/>
      <c r="N6" s="228"/>
      <c r="O6" s="228" t="s">
        <v>49</v>
      </c>
      <c r="P6" s="228"/>
      <c r="Q6" s="229"/>
      <c r="R6" s="229"/>
      <c r="S6" s="229"/>
      <c r="T6" s="229"/>
      <c r="U6" s="230"/>
      <c r="V6" s="225"/>
    </row>
    <row r="7" spans="1:22" s="237" customFormat="1" ht="12.75">
      <c r="A7" s="232" t="s">
        <v>69</v>
      </c>
      <c r="B7" s="313">
        <f>'FRUITS8-9 '!Z6</f>
        <v>3.0039999999999996</v>
      </c>
      <c r="C7" s="313">
        <f>'FRUITS8-9 '!AA6</f>
        <v>24.941</v>
      </c>
      <c r="D7" s="313">
        <f>'VEG8-9 '!X6</f>
        <v>3.951</v>
      </c>
      <c r="E7" s="313">
        <f>'VEG8-9 '!Y6</f>
        <v>30.823</v>
      </c>
      <c r="F7" s="304">
        <v>0.035</v>
      </c>
      <c r="G7" s="234">
        <v>0.335</v>
      </c>
      <c r="H7" s="4"/>
      <c r="I7" s="235"/>
      <c r="J7" s="235"/>
      <c r="K7" s="233"/>
      <c r="L7" s="233"/>
      <c r="M7" s="2">
        <v>1.66</v>
      </c>
      <c r="N7" s="2">
        <v>3.15</v>
      </c>
      <c r="O7" s="183">
        <f>'PLANTATION8-9'!J7</f>
        <v>25.700000000000003</v>
      </c>
      <c r="P7" s="183">
        <f>'PLANTATION8-9'!K7</f>
        <v>61.47143840330351</v>
      </c>
      <c r="Q7" s="235"/>
      <c r="R7" s="235"/>
      <c r="S7" s="235"/>
      <c r="T7" s="235"/>
      <c r="U7" s="236">
        <f aca="true" t="shared" si="0" ref="U7:U12">B7+D7+F7+I7+K7+M7+O7</f>
        <v>34.35</v>
      </c>
      <c r="V7" s="9">
        <f aca="true" t="shared" si="1" ref="V7:V41">C7+E7+G7+J7+L7+N7+P7+S7+T7</f>
        <v>120.7204384033035</v>
      </c>
    </row>
    <row r="8" spans="1:22" ht="12.75">
      <c r="A8" s="238" t="s">
        <v>17</v>
      </c>
      <c r="B8" s="313">
        <f>'FRUITS8-9 '!Z7</f>
        <v>935.9130000000001</v>
      </c>
      <c r="C8" s="313">
        <f>'FRUITS8-9 '!AA7</f>
        <v>11406.971000000001</v>
      </c>
      <c r="D8" s="313">
        <f>'VEG8-9 '!X7</f>
        <v>324.552</v>
      </c>
      <c r="E8" s="313">
        <f>'VEG8-9 '!Y7</f>
        <v>5267.456</v>
      </c>
      <c r="F8" s="305">
        <f>18.549+0.901</f>
        <v>19.45</v>
      </c>
      <c r="G8" s="239">
        <v>124.984</v>
      </c>
      <c r="H8" s="240">
        <v>3.03</v>
      </c>
      <c r="I8" s="5">
        <v>19.807</v>
      </c>
      <c r="J8" s="5">
        <v>77.395</v>
      </c>
      <c r="K8" s="1"/>
      <c r="L8" s="1"/>
      <c r="M8" s="2">
        <v>318.4</v>
      </c>
      <c r="N8" s="2">
        <v>1225.29</v>
      </c>
      <c r="O8" s="183">
        <f>'PLANTATION8-9'!J8</f>
        <v>297.631</v>
      </c>
      <c r="P8" s="183">
        <f>'PLANTATION8-9'!K8</f>
        <v>885.0584101858224</v>
      </c>
      <c r="Q8" s="5"/>
      <c r="R8" s="5"/>
      <c r="S8" s="5"/>
      <c r="T8" s="5"/>
      <c r="U8" s="9">
        <f t="shared" si="0"/>
        <v>1915.7530000000002</v>
      </c>
      <c r="V8" s="9">
        <f t="shared" si="1"/>
        <v>18987.154410185827</v>
      </c>
    </row>
    <row r="9" spans="1:22" s="244" customFormat="1" ht="12.75">
      <c r="A9" s="238" t="s">
        <v>18</v>
      </c>
      <c r="B9" s="313">
        <f>'FRUITS8-9 '!Z8</f>
        <v>57.60000000000001</v>
      </c>
      <c r="C9" s="313">
        <f>'FRUITS8-9 '!AA8</f>
        <v>108</v>
      </c>
      <c r="D9" s="313">
        <f>'VEG8-9 '!X8</f>
        <v>23.8</v>
      </c>
      <c r="E9" s="313">
        <f>'VEG8-9 '!Y8</f>
        <v>110</v>
      </c>
      <c r="F9" s="242"/>
      <c r="G9" s="1"/>
      <c r="H9" s="243"/>
      <c r="I9" s="5"/>
      <c r="J9" s="5"/>
      <c r="K9" s="1">
        <v>3.8</v>
      </c>
      <c r="L9" s="1">
        <v>0.1</v>
      </c>
      <c r="M9" s="2">
        <v>7.63</v>
      </c>
      <c r="N9" s="2">
        <v>43.34</v>
      </c>
      <c r="O9" s="183">
        <f>'PLANTATION8-9'!J9</f>
        <v>0</v>
      </c>
      <c r="P9" s="183">
        <f>'PLANTATION8-9'!K9</f>
        <v>0</v>
      </c>
      <c r="Q9" s="1"/>
      <c r="R9" s="1"/>
      <c r="S9" s="1"/>
      <c r="T9" s="1"/>
      <c r="U9" s="9">
        <f t="shared" si="0"/>
        <v>92.83</v>
      </c>
      <c r="V9" s="9">
        <f t="shared" si="1"/>
        <v>261.44</v>
      </c>
    </row>
    <row r="10" spans="1:22" ht="12.75">
      <c r="A10" s="238" t="s">
        <v>19</v>
      </c>
      <c r="B10" s="313">
        <f>'FRUITS8-9 '!Z9</f>
        <v>105.19699999999999</v>
      </c>
      <c r="C10" s="313">
        <f>'FRUITS8-9 '!AA9</f>
        <v>1574.771</v>
      </c>
      <c r="D10" s="313">
        <f>'VEG8-9 '!X9</f>
        <v>240.052</v>
      </c>
      <c r="E10" s="313">
        <f>'VEG8-9 '!Y9</f>
        <v>2916.691</v>
      </c>
      <c r="F10" s="306"/>
      <c r="G10" s="239"/>
      <c r="H10" s="240"/>
      <c r="I10" s="5">
        <v>0</v>
      </c>
      <c r="J10" s="5">
        <v>0</v>
      </c>
      <c r="K10" s="1">
        <v>0</v>
      </c>
      <c r="L10" s="1">
        <v>0</v>
      </c>
      <c r="M10" s="2">
        <v>27.37</v>
      </c>
      <c r="N10" s="2">
        <v>18.55</v>
      </c>
      <c r="O10" s="183">
        <f>'PLANTATION8-9'!J10</f>
        <v>106.97</v>
      </c>
      <c r="P10" s="183">
        <f>'PLANTATION8-9'!K10</f>
        <v>169.29944941500344</v>
      </c>
      <c r="Q10" s="245"/>
      <c r="R10" s="245"/>
      <c r="S10" s="245"/>
      <c r="T10" s="245"/>
      <c r="U10" s="9">
        <f t="shared" si="0"/>
        <v>479.58899999999994</v>
      </c>
      <c r="V10" s="9">
        <f t="shared" si="1"/>
        <v>4679.311449415003</v>
      </c>
    </row>
    <row r="11" spans="1:22" ht="12.75">
      <c r="A11" s="238" t="s">
        <v>20</v>
      </c>
      <c r="B11" s="313">
        <f>'FRUITS8-9 '!Z10</f>
        <v>290.707</v>
      </c>
      <c r="C11" s="313">
        <f>'FRUITS8-9 '!AA10</f>
        <v>3722.82</v>
      </c>
      <c r="D11" s="313">
        <f>'VEG8-9 '!X10</f>
        <v>826.8719999999998</v>
      </c>
      <c r="E11" s="313">
        <f>'VEG8-9 '!Y10</f>
        <v>13385.748</v>
      </c>
      <c r="F11" s="307">
        <v>0.2</v>
      </c>
      <c r="G11" s="3">
        <v>2.3</v>
      </c>
      <c r="H11" s="4">
        <v>11</v>
      </c>
      <c r="I11" s="5"/>
      <c r="J11" s="5"/>
      <c r="K11" s="1"/>
      <c r="L11" s="1"/>
      <c r="M11" s="2">
        <v>11.28</v>
      </c>
      <c r="N11" s="2">
        <v>12.36</v>
      </c>
      <c r="O11" s="183">
        <f>'PLANTATION8-9'!J11</f>
        <v>0</v>
      </c>
      <c r="P11" s="183">
        <f>'PLANTATION8-9'!K11</f>
        <v>0</v>
      </c>
      <c r="Q11" s="1"/>
      <c r="R11" s="1"/>
      <c r="S11" s="1"/>
      <c r="T11" s="1"/>
      <c r="U11" s="9">
        <f t="shared" si="0"/>
        <v>1129.0589999999997</v>
      </c>
      <c r="V11" s="9">
        <f t="shared" si="1"/>
        <v>17123.228</v>
      </c>
    </row>
    <row r="12" spans="1:22" s="249" customFormat="1" ht="12.75">
      <c r="A12" s="246" t="s">
        <v>21</v>
      </c>
      <c r="B12" s="313">
        <f>'FRUITS8-9 '!Z11</f>
        <v>0.1</v>
      </c>
      <c r="C12" s="313">
        <f>'FRUITS8-9 '!AA11</f>
        <v>1.1</v>
      </c>
      <c r="D12" s="313">
        <f>'VEG8-9 '!X11</f>
        <v>0.1</v>
      </c>
      <c r="E12" s="313">
        <f>'VEG8-9 '!Y11</f>
        <v>1.7</v>
      </c>
      <c r="F12" s="308"/>
      <c r="G12" s="234"/>
      <c r="H12" s="4"/>
      <c r="I12" s="247">
        <v>0</v>
      </c>
      <c r="J12" s="247">
        <v>0</v>
      </c>
      <c r="K12" s="248"/>
      <c r="L12" s="248"/>
      <c r="M12" s="2"/>
      <c r="N12" s="2"/>
      <c r="O12" s="183">
        <f>'PLANTATION8-9'!J12</f>
        <v>0</v>
      </c>
      <c r="P12" s="183">
        <f>'PLANTATION8-9'!K12</f>
        <v>0</v>
      </c>
      <c r="Q12" s="248"/>
      <c r="R12" s="248"/>
      <c r="S12" s="248"/>
      <c r="T12" s="248"/>
      <c r="U12" s="236">
        <f t="shared" si="0"/>
        <v>0.2</v>
      </c>
      <c r="V12" s="9">
        <f t="shared" si="1"/>
        <v>2.8</v>
      </c>
    </row>
    <row r="13" spans="1:22" ht="12.75">
      <c r="A13" s="238" t="s">
        <v>70</v>
      </c>
      <c r="B13" s="313">
        <f>'FRUITS8-9 '!Z12</f>
        <v>111.70199999999998</v>
      </c>
      <c r="C13" s="313">
        <f>'FRUITS8-9 '!AA12</f>
        <v>965.6610000000001</v>
      </c>
      <c r="D13" s="313">
        <f>'VEG8-9 '!X12</f>
        <v>302.56300000000005</v>
      </c>
      <c r="E13" s="313">
        <f>'VEG8-9 '!Y12</f>
        <v>3041.0290000000005</v>
      </c>
      <c r="F13" s="309">
        <v>2.4</v>
      </c>
      <c r="G13" s="3">
        <v>6.9</v>
      </c>
      <c r="H13" s="4"/>
      <c r="I13" s="5">
        <v>11.5</v>
      </c>
      <c r="J13" s="5">
        <v>65.6</v>
      </c>
      <c r="K13" s="1" t="s">
        <v>49</v>
      </c>
      <c r="L13" s="1"/>
      <c r="M13" s="2">
        <v>11.56</v>
      </c>
      <c r="N13" s="2">
        <v>7.18</v>
      </c>
      <c r="O13" s="183">
        <f>'PLANTATION8-9'!J13</f>
        <v>0</v>
      </c>
      <c r="P13" s="183">
        <f>'PLANTATION8-9'!K13</f>
        <v>0</v>
      </c>
      <c r="Q13" s="1"/>
      <c r="R13" s="1"/>
      <c r="S13" s="1"/>
      <c r="T13" s="1"/>
      <c r="U13" s="9">
        <f>B13+D13+F13+I13+M13+O13</f>
        <v>439.725</v>
      </c>
      <c r="V13" s="9">
        <f t="shared" si="1"/>
        <v>4086.3700000000003</v>
      </c>
    </row>
    <row r="14" spans="1:22" s="249" customFormat="1" ht="12.75">
      <c r="A14" s="246" t="s">
        <v>23</v>
      </c>
      <c r="B14" s="313">
        <f>'FRUITS8-9 '!Z13</f>
        <v>1.8399999999999999</v>
      </c>
      <c r="C14" s="313">
        <f>'FRUITS8-9 '!AA13</f>
        <v>19.7</v>
      </c>
      <c r="D14" s="313">
        <f>'VEG8-9 '!X13</f>
        <v>0.9700000000000001</v>
      </c>
      <c r="E14" s="313">
        <f>'VEG8-9 '!Y13</f>
        <v>4.48</v>
      </c>
      <c r="F14" s="304"/>
      <c r="G14" s="234"/>
      <c r="H14" s="4"/>
      <c r="I14" s="247"/>
      <c r="J14" s="247"/>
      <c r="K14" s="248"/>
      <c r="L14" s="248"/>
      <c r="M14" s="2"/>
      <c r="N14" s="2"/>
      <c r="O14" s="183">
        <f>'PLANTATION8-9'!J14</f>
        <v>0</v>
      </c>
      <c r="P14" s="183">
        <f>'PLANTATION8-9'!K14</f>
        <v>0</v>
      </c>
      <c r="Q14" s="248"/>
      <c r="R14" s="248"/>
      <c r="S14" s="248"/>
      <c r="T14" s="248"/>
      <c r="U14" s="236">
        <f aca="true" t="shared" si="2" ref="U14:U41">B14+D14+F14+I14+K14+M14+O14</f>
        <v>2.81</v>
      </c>
      <c r="V14" s="9">
        <f t="shared" si="1"/>
        <v>24.18</v>
      </c>
    </row>
    <row r="15" spans="1:22" s="249" customFormat="1" ht="12.75">
      <c r="A15" s="246" t="s">
        <v>24</v>
      </c>
      <c r="B15" s="313">
        <f>'FRUITS8-9 '!Z14</f>
        <v>0.017</v>
      </c>
      <c r="C15" s="313">
        <f>'FRUITS8-9 '!AA14</f>
        <v>0.023000000000000003</v>
      </c>
      <c r="D15" s="313">
        <f>'VEG8-9 '!X14</f>
        <v>0.162</v>
      </c>
      <c r="E15" s="313">
        <f>'VEG8-9 '!Y14</f>
        <v>0.2</v>
      </c>
      <c r="F15" s="310">
        <v>0</v>
      </c>
      <c r="G15" s="234">
        <v>0.007</v>
      </c>
      <c r="H15" s="250"/>
      <c r="I15" s="247"/>
      <c r="J15" s="247"/>
      <c r="K15" s="248"/>
      <c r="L15" s="248"/>
      <c r="M15" s="2"/>
      <c r="N15" s="2"/>
      <c r="O15" s="183">
        <f>'PLANTATION8-9'!J15</f>
        <v>0</v>
      </c>
      <c r="P15" s="183">
        <f>'PLANTATION8-9'!K15</f>
        <v>0</v>
      </c>
      <c r="Q15" s="248"/>
      <c r="R15" s="248"/>
      <c r="S15" s="248"/>
      <c r="T15" s="248"/>
      <c r="U15" s="236">
        <f t="shared" si="2"/>
        <v>0.179</v>
      </c>
      <c r="V15" s="9">
        <f t="shared" si="1"/>
        <v>0.23</v>
      </c>
    </row>
    <row r="16" spans="1:22" ht="12.75">
      <c r="A16" s="238" t="s">
        <v>25</v>
      </c>
      <c r="B16" s="313">
        <f>'FRUITS8-9 '!Z15</f>
        <v>0.05499999999999999</v>
      </c>
      <c r="C16" s="313">
        <f>'FRUITS8-9 '!AA15</f>
        <v>0.9869999999999999</v>
      </c>
      <c r="D16" s="313">
        <f>'VEG8-9 '!X15</f>
        <v>36.077999999999996</v>
      </c>
      <c r="E16" s="313">
        <f>'VEG8-9 '!Y15</f>
        <v>617.4000000000001</v>
      </c>
      <c r="F16" s="309">
        <v>5.5</v>
      </c>
      <c r="G16" s="3">
        <v>5.7</v>
      </c>
      <c r="H16" s="4">
        <v>1038</v>
      </c>
      <c r="I16" s="1"/>
      <c r="J16" s="1"/>
      <c r="K16" s="1"/>
      <c r="L16" s="1"/>
      <c r="M16" s="2"/>
      <c r="N16" s="2"/>
      <c r="O16" s="183">
        <f>'PLANTATION8-9'!J16</f>
        <v>0</v>
      </c>
      <c r="P16" s="183">
        <f>'PLANTATION8-9'!K16</f>
        <v>0</v>
      </c>
      <c r="Q16" s="1"/>
      <c r="R16" s="1"/>
      <c r="S16" s="1"/>
      <c r="T16" s="1"/>
      <c r="U16" s="9">
        <f t="shared" si="2"/>
        <v>41.632999999999996</v>
      </c>
      <c r="V16" s="9">
        <f t="shared" si="1"/>
        <v>624.0870000000001</v>
      </c>
    </row>
    <row r="17" spans="1:22" ht="12.75">
      <c r="A17" s="238" t="s">
        <v>26</v>
      </c>
      <c r="B17" s="313">
        <f>'FRUITS8-9 '!Z16</f>
        <v>11.939999999999998</v>
      </c>
      <c r="C17" s="313">
        <f>'FRUITS8-9 '!AA16</f>
        <v>88.11</v>
      </c>
      <c r="D17" s="313">
        <f>'VEG8-9 '!X16</f>
        <v>5.7</v>
      </c>
      <c r="E17" s="313">
        <f>'VEG8-9 '!Y16</f>
        <v>57.6</v>
      </c>
      <c r="F17" s="309"/>
      <c r="G17" s="3"/>
      <c r="H17" s="4"/>
      <c r="I17" s="5"/>
      <c r="J17" s="5"/>
      <c r="K17" s="1"/>
      <c r="L17" s="1"/>
      <c r="M17" s="2">
        <v>0.65</v>
      </c>
      <c r="N17" s="2">
        <v>0.17</v>
      </c>
      <c r="O17" s="183">
        <f>'PLANTATION8-9'!J17</f>
        <v>82.35</v>
      </c>
      <c r="P17" s="183">
        <f>'PLANTATION8-9'!K17</f>
        <v>120.59830695113558</v>
      </c>
      <c r="Q17" s="5"/>
      <c r="R17" s="5"/>
      <c r="S17" s="5"/>
      <c r="T17" s="5"/>
      <c r="U17" s="9">
        <f t="shared" si="2"/>
        <v>100.63999999999999</v>
      </c>
      <c r="V17" s="9">
        <f t="shared" si="1"/>
        <v>266.47830695113555</v>
      </c>
    </row>
    <row r="18" spans="1:22" ht="12.75">
      <c r="A18" s="238" t="s">
        <v>27</v>
      </c>
      <c r="B18" s="313">
        <f>'FRUITS8-9 '!Z17</f>
        <v>316.764</v>
      </c>
      <c r="C18" s="313">
        <f>'FRUITS8-9 '!AA17</f>
        <v>5822.28</v>
      </c>
      <c r="D18" s="313">
        <f>'VEG8-9 '!X17</f>
        <v>394.82</v>
      </c>
      <c r="E18" s="313">
        <f>'VEG8-9 '!Y17</f>
        <v>6807.121</v>
      </c>
      <c r="F18" s="311">
        <v>9.7</v>
      </c>
      <c r="G18" s="2">
        <v>49.5</v>
      </c>
      <c r="H18" s="193">
        <v>5063</v>
      </c>
      <c r="I18" s="5"/>
      <c r="J18" s="5"/>
      <c r="K18" s="1"/>
      <c r="L18" s="1"/>
      <c r="M18" s="2">
        <v>306.99</v>
      </c>
      <c r="N18" s="2">
        <v>426.61</v>
      </c>
      <c r="O18" s="183">
        <f>'PLANTATION8-9'!J18</f>
        <v>22.4</v>
      </c>
      <c r="P18" s="183">
        <f>'PLANTATION8-9'!K18</f>
        <v>99.18238128011012</v>
      </c>
      <c r="Q18" s="251"/>
      <c r="R18" s="251"/>
      <c r="S18" s="251"/>
      <c r="T18" s="251"/>
      <c r="U18" s="9">
        <f t="shared" si="2"/>
        <v>1050.6740000000002</v>
      </c>
      <c r="V18" s="9">
        <f t="shared" si="1"/>
        <v>13204.69338128011</v>
      </c>
    </row>
    <row r="19" spans="1:22" ht="12.75">
      <c r="A19" s="238" t="s">
        <v>28</v>
      </c>
      <c r="B19" s="313">
        <f>'FRUITS8-9 '!Z18</f>
        <v>37.613</v>
      </c>
      <c r="C19" s="313">
        <f>'FRUITS8-9 '!AA18</f>
        <v>263.9</v>
      </c>
      <c r="D19" s="313">
        <f>'VEG8-9 '!X18</f>
        <v>298.42999999999995</v>
      </c>
      <c r="E19" s="313">
        <f>'VEG8-9 '!Y18</f>
        <v>3893.431</v>
      </c>
      <c r="F19" s="305">
        <v>5.53</v>
      </c>
      <c r="G19" s="3">
        <v>53.925</v>
      </c>
      <c r="H19" s="4">
        <v>929</v>
      </c>
      <c r="I19" s="5">
        <v>0.947</v>
      </c>
      <c r="J19" s="5">
        <v>2.71</v>
      </c>
      <c r="K19" s="241"/>
      <c r="L19" s="241"/>
      <c r="M19" s="2">
        <v>5.15</v>
      </c>
      <c r="N19" s="2">
        <v>24.52</v>
      </c>
      <c r="O19" s="183">
        <f>'PLANTATION8-9'!J19</f>
        <v>0</v>
      </c>
      <c r="P19" s="183">
        <f>'PLANTATION8-9'!K19</f>
        <v>0</v>
      </c>
      <c r="Q19" s="1"/>
      <c r="R19" s="1"/>
      <c r="S19" s="1">
        <v>7.178</v>
      </c>
      <c r="T19" s="5"/>
      <c r="U19" s="9">
        <f t="shared" si="2"/>
        <v>347.6699999999999</v>
      </c>
      <c r="V19" s="9">
        <f t="shared" si="1"/>
        <v>4245.664000000001</v>
      </c>
    </row>
    <row r="20" spans="1:22" ht="12.75">
      <c r="A20" s="238" t="s">
        <v>29</v>
      </c>
      <c r="B20" s="313">
        <f>'FRUITS8-9 '!Z19</f>
        <v>193.271</v>
      </c>
      <c r="C20" s="313">
        <f>'FRUITS8-9 '!AA19</f>
        <v>624.6580000000002</v>
      </c>
      <c r="D20" s="313">
        <f>'VEG8-9 '!X19</f>
        <v>74.727</v>
      </c>
      <c r="E20" s="313">
        <f>'VEG8-9 '!Y19</f>
        <v>1263.915</v>
      </c>
      <c r="F20" s="307">
        <v>0.6</v>
      </c>
      <c r="G20" s="3">
        <v>3.4</v>
      </c>
      <c r="H20" s="4">
        <v>566</v>
      </c>
      <c r="I20" s="5"/>
      <c r="J20" s="5"/>
      <c r="K20" s="8">
        <f>5.634+4.666+0.763+0.013</f>
        <v>11.076</v>
      </c>
      <c r="L20" s="8">
        <f>0.124+1.623+1.776+0.146+0.003</f>
        <v>3.6719999999999997</v>
      </c>
      <c r="M20" s="2">
        <v>4.44</v>
      </c>
      <c r="N20" s="2">
        <v>18.62</v>
      </c>
      <c r="O20" s="183">
        <f>'PLANTATION8-9'!J20</f>
        <v>0</v>
      </c>
      <c r="P20" s="183">
        <f>'PLANTATION8-9'!K20</f>
        <v>0</v>
      </c>
      <c r="Q20" s="1"/>
      <c r="R20" s="1"/>
      <c r="S20" s="1">
        <v>5.3</v>
      </c>
      <c r="T20" s="1"/>
      <c r="U20" s="9">
        <f t="shared" si="2"/>
        <v>284.11400000000003</v>
      </c>
      <c r="V20" s="9">
        <f t="shared" si="1"/>
        <v>1919.5650000000003</v>
      </c>
    </row>
    <row r="21" spans="1:22" ht="12.75">
      <c r="A21" s="238" t="s">
        <v>30</v>
      </c>
      <c r="B21" s="313">
        <f>'FRUITS8-9 '!Z20</f>
        <v>205.08299999999997</v>
      </c>
      <c r="C21" s="313">
        <f>'FRUITS8-9 '!AA20</f>
        <v>1538.1275</v>
      </c>
      <c r="D21" s="313">
        <f>'VEG8-9 '!X20</f>
        <v>60.661</v>
      </c>
      <c r="E21" s="313">
        <f>'VEG8-9 '!Y20</f>
        <v>1023.649</v>
      </c>
      <c r="F21" s="307">
        <v>0.065</v>
      </c>
      <c r="G21" s="234">
        <v>0.011</v>
      </c>
      <c r="H21" s="4">
        <v>20</v>
      </c>
      <c r="I21" s="5"/>
      <c r="J21" s="5"/>
      <c r="K21" s="5">
        <f>34.949+68.069</f>
        <v>103.018</v>
      </c>
      <c r="L21" s="5">
        <f>22.567+129.982</f>
        <v>152.549</v>
      </c>
      <c r="M21" s="2">
        <v>3.89</v>
      </c>
      <c r="N21" s="2">
        <v>0.91</v>
      </c>
      <c r="O21" s="183">
        <f>'PLANTATION8-9'!J21</f>
        <v>0</v>
      </c>
      <c r="P21" s="183">
        <f>'PLANTATION8-9'!K21</f>
        <v>0</v>
      </c>
      <c r="Q21" s="1"/>
      <c r="R21" s="1"/>
      <c r="S21" s="1">
        <v>0.1</v>
      </c>
      <c r="T21" s="1"/>
      <c r="U21" s="9">
        <f t="shared" si="2"/>
        <v>372.717</v>
      </c>
      <c r="V21" s="9">
        <f t="shared" si="1"/>
        <v>2715.3464999999997</v>
      </c>
    </row>
    <row r="22" spans="1:22" ht="12.75">
      <c r="A22" s="238" t="s">
        <v>31</v>
      </c>
      <c r="B22" s="313">
        <f>'FRUITS8-9 '!Z21</f>
        <v>71.981</v>
      </c>
      <c r="C22" s="313">
        <f>'FRUITS8-9 '!AA21</f>
        <v>395.91700000000003</v>
      </c>
      <c r="D22" s="313">
        <f>'VEG8-9 '!X21</f>
        <v>242.08499999999998</v>
      </c>
      <c r="E22" s="313">
        <f>'VEG8-9 '!Y21</f>
        <v>3637.029</v>
      </c>
      <c r="F22" s="307">
        <v>1.6</v>
      </c>
      <c r="G22" s="3">
        <v>22.026</v>
      </c>
      <c r="H22" s="4">
        <v>1711</v>
      </c>
      <c r="I22" s="5">
        <v>0.1</v>
      </c>
      <c r="J22" s="5">
        <v>0</v>
      </c>
      <c r="K22" s="1"/>
      <c r="L22" s="1"/>
      <c r="M22" s="2"/>
      <c r="N22" s="2"/>
      <c r="O22" s="183">
        <f>'PLANTATION8-9'!J22</f>
        <v>0</v>
      </c>
      <c r="P22" s="183">
        <f>'PLANTATION8-9'!K22</f>
        <v>0</v>
      </c>
      <c r="Q22" s="1"/>
      <c r="R22" s="1"/>
      <c r="S22" s="1"/>
      <c r="T22" s="1"/>
      <c r="U22" s="9">
        <f t="shared" si="2"/>
        <v>315.766</v>
      </c>
      <c r="V22" s="9">
        <f t="shared" si="1"/>
        <v>4054.9719999999998</v>
      </c>
    </row>
    <row r="23" spans="1:22" ht="12.75">
      <c r="A23" s="238" t="s">
        <v>32</v>
      </c>
      <c r="B23" s="313">
        <f>'FRUITS8-9 '!Z22</f>
        <v>315.41</v>
      </c>
      <c r="C23" s="313">
        <f>'FRUITS8-9 '!AA22</f>
        <v>5269.772999999998</v>
      </c>
      <c r="D23" s="313">
        <f>'VEG8-9 '!X22</f>
        <v>447.95000000000005</v>
      </c>
      <c r="E23" s="313">
        <f>'VEG8-9 '!Y22</f>
        <v>7724.883</v>
      </c>
      <c r="F23" s="305">
        <v>26.021</v>
      </c>
      <c r="G23" s="3">
        <f>15.663+11.612+66.747+31.988+61.58+7.36+8.91</f>
        <v>203.85999999999999</v>
      </c>
      <c r="H23" s="4">
        <f>358+544+4394+117+65+75+203+69+9+23+10</f>
        <v>5867</v>
      </c>
      <c r="I23" s="5">
        <f>1.366+1.325</f>
        <v>2.691</v>
      </c>
      <c r="J23" s="5">
        <f>3.391+11.304</f>
        <v>14.695</v>
      </c>
      <c r="K23" s="1"/>
      <c r="L23" s="1"/>
      <c r="M23" s="2">
        <v>233.48</v>
      </c>
      <c r="N23" s="2">
        <v>341.65</v>
      </c>
      <c r="O23" s="183">
        <f>'PLANTATION8-9'!J23</f>
        <v>687.2</v>
      </c>
      <c r="P23" s="183">
        <f>'PLANTATION8-9'!K23</f>
        <v>1412.8163179628355</v>
      </c>
      <c r="Q23" s="5"/>
      <c r="R23" s="5"/>
      <c r="S23" s="5"/>
      <c r="T23" s="5"/>
      <c r="U23" s="9">
        <f t="shared" si="2"/>
        <v>1712.7520000000002</v>
      </c>
      <c r="V23" s="9">
        <f t="shared" si="1"/>
        <v>14967.677317962834</v>
      </c>
    </row>
    <row r="24" spans="1:22" ht="12.75">
      <c r="A24" s="238" t="s">
        <v>33</v>
      </c>
      <c r="B24" s="313">
        <f>'FRUITS8-9 '!Z23</f>
        <v>320.78499999999997</v>
      </c>
      <c r="C24" s="313">
        <f>'FRUITS8-9 '!AA23</f>
        <v>2558.892</v>
      </c>
      <c r="D24" s="313">
        <f>'VEG8-9 '!X23</f>
        <v>163.57</v>
      </c>
      <c r="E24" s="313">
        <f>'VEG8-9 '!Y23</f>
        <v>3509.438</v>
      </c>
      <c r="F24" s="305"/>
      <c r="G24" s="3"/>
      <c r="H24" s="4"/>
      <c r="I24" s="5"/>
      <c r="J24" s="5"/>
      <c r="K24" s="1"/>
      <c r="L24" s="1"/>
      <c r="M24" s="2">
        <v>301.07</v>
      </c>
      <c r="N24" s="2">
        <v>126.24</v>
      </c>
      <c r="O24" s="183">
        <f>'PLANTATION8-9'!J24</f>
        <v>1001.218</v>
      </c>
      <c r="P24" s="183">
        <f>'PLANTATION8-9'!K24</f>
        <v>4080.302456985547</v>
      </c>
      <c r="Q24" s="5"/>
      <c r="R24" s="5"/>
      <c r="S24" s="5"/>
      <c r="T24" s="5"/>
      <c r="U24" s="9">
        <f t="shared" si="2"/>
        <v>1786.643</v>
      </c>
      <c r="V24" s="9">
        <f t="shared" si="1"/>
        <v>10274.872456985548</v>
      </c>
    </row>
    <row r="25" spans="1:22" s="237" customFormat="1" ht="12.75">
      <c r="A25" s="232" t="s">
        <v>71</v>
      </c>
      <c r="B25" s="313">
        <f>'FRUITS8-9 '!Z24</f>
        <v>0.35</v>
      </c>
      <c r="C25" s="313">
        <f>'FRUITS8-9 '!AA24</f>
        <v>1.24</v>
      </c>
      <c r="D25" s="313">
        <f>'VEG8-9 '!X24</f>
        <v>0.445</v>
      </c>
      <c r="E25" s="313">
        <f>'VEG8-9 '!Y24</f>
        <v>14.12</v>
      </c>
      <c r="F25" s="306"/>
      <c r="G25" s="234"/>
      <c r="H25" s="4"/>
      <c r="I25" s="235"/>
      <c r="J25" s="235"/>
      <c r="K25" s="233"/>
      <c r="L25" s="233"/>
      <c r="M25" s="2"/>
      <c r="N25" s="2"/>
      <c r="O25" s="183">
        <f>'PLANTATION8-9'!J25</f>
        <v>2.7</v>
      </c>
      <c r="P25" s="183">
        <f>'PLANTATION8-9'!K25</f>
        <v>36.4762560220234</v>
      </c>
      <c r="Q25" s="233"/>
      <c r="R25" s="233"/>
      <c r="S25" s="233"/>
      <c r="T25" s="233"/>
      <c r="U25" s="236">
        <f t="shared" si="2"/>
        <v>3.495</v>
      </c>
      <c r="V25" s="9">
        <f t="shared" si="1"/>
        <v>51.8362560220234</v>
      </c>
    </row>
    <row r="26" spans="1:22" ht="12.75">
      <c r="A26" s="238" t="s">
        <v>35</v>
      </c>
      <c r="B26" s="313">
        <f>'FRUITS8-9 '!Z25</f>
        <v>92.37800000000001</v>
      </c>
      <c r="C26" s="313">
        <f>'FRUITS8-9 '!AA25</f>
        <v>2372.535</v>
      </c>
      <c r="D26" s="313">
        <f>'VEG8-9 '!X25</f>
        <v>291.673</v>
      </c>
      <c r="E26" s="313">
        <f>'VEG8-9 '!Y25</f>
        <v>4105.75</v>
      </c>
      <c r="F26" s="309">
        <v>3.046</v>
      </c>
      <c r="G26" s="3">
        <v>1.828</v>
      </c>
      <c r="H26" s="4"/>
      <c r="I26" s="5">
        <v>22.016</v>
      </c>
      <c r="J26" s="5">
        <v>132.096</v>
      </c>
      <c r="K26" s="1"/>
      <c r="L26" s="1"/>
      <c r="M26" s="2">
        <v>197.01</v>
      </c>
      <c r="N26" s="2">
        <v>250.41</v>
      </c>
      <c r="O26" s="183">
        <f>'PLANTATION8-9'!J26</f>
        <v>0</v>
      </c>
      <c r="P26" s="183">
        <f>'PLANTATION8-9'!K26</f>
        <v>0</v>
      </c>
      <c r="Q26" s="1"/>
      <c r="R26" s="1"/>
      <c r="S26" s="1"/>
      <c r="T26" s="1"/>
      <c r="U26" s="9">
        <f t="shared" si="2"/>
        <v>606.123</v>
      </c>
      <c r="V26" s="9">
        <f t="shared" si="1"/>
        <v>6862.619000000001</v>
      </c>
    </row>
    <row r="27" spans="1:22" ht="12.75">
      <c r="A27" s="238" t="s">
        <v>36</v>
      </c>
      <c r="B27" s="313">
        <f>'FRUITS8-9 '!Z26</f>
        <v>1432.3</v>
      </c>
      <c r="C27" s="313">
        <f>'FRUITS8-9 '!AA26</f>
        <v>10924.75</v>
      </c>
      <c r="D27" s="313">
        <f>'VEG8-9 '!X26</f>
        <v>448.29999999999995</v>
      </c>
      <c r="E27" s="313">
        <f>'VEG8-9 '!Y26</f>
        <v>6368.014999999999</v>
      </c>
      <c r="F27" s="307">
        <v>16.4</v>
      </c>
      <c r="G27" s="3">
        <v>89.4</v>
      </c>
      <c r="H27" s="4">
        <v>5728</v>
      </c>
      <c r="I27" s="5"/>
      <c r="J27" s="5"/>
      <c r="K27" s="6"/>
      <c r="L27" s="6"/>
      <c r="M27" s="2">
        <v>113.64</v>
      </c>
      <c r="N27" s="2">
        <v>96.57</v>
      </c>
      <c r="O27" s="183">
        <f>'PLANTATION8-9'!J27</f>
        <v>193.2</v>
      </c>
      <c r="P27" s="183">
        <f>'PLANTATION8-9'!K27</f>
        <v>349.0892911218169</v>
      </c>
      <c r="Q27" s="5"/>
      <c r="R27" s="5"/>
      <c r="S27" s="5"/>
      <c r="T27" s="5"/>
      <c r="U27" s="9">
        <f t="shared" si="2"/>
        <v>2203.84</v>
      </c>
      <c r="V27" s="9">
        <f t="shared" si="1"/>
        <v>17827.82429112182</v>
      </c>
    </row>
    <row r="28" spans="1:22" s="249" customFormat="1" ht="12.75">
      <c r="A28" s="246" t="s">
        <v>37</v>
      </c>
      <c r="B28" s="313">
        <f>'FRUITS8-9 '!Z27</f>
        <v>42.403000000000006</v>
      </c>
      <c r="C28" s="313">
        <f>'FRUITS8-9 '!AA27</f>
        <v>341.90599999999995</v>
      </c>
      <c r="D28" s="313">
        <f>'VEG8-9 '!X27</f>
        <v>16.618000000000002</v>
      </c>
      <c r="E28" s="313">
        <f>'VEG8-9 '!Y27</f>
        <v>174.263</v>
      </c>
      <c r="F28" s="308">
        <v>0</v>
      </c>
      <c r="G28" s="234">
        <v>0</v>
      </c>
      <c r="H28" s="250"/>
      <c r="I28" s="247"/>
      <c r="J28" s="247"/>
      <c r="K28" s="248"/>
      <c r="L28" s="248"/>
      <c r="M28" s="2">
        <v>8.98</v>
      </c>
      <c r="N28" s="2">
        <v>7.84</v>
      </c>
      <c r="O28" s="183">
        <f>'PLANTATION8-9'!J28</f>
        <v>0</v>
      </c>
      <c r="P28" s="183">
        <f>'PLANTATION8-9'!K28</f>
        <v>0</v>
      </c>
      <c r="Q28" s="248"/>
      <c r="R28" s="248"/>
      <c r="S28" s="248"/>
      <c r="T28" s="248"/>
      <c r="U28" s="236">
        <f t="shared" si="2"/>
        <v>68.001</v>
      </c>
      <c r="V28" s="9">
        <f t="shared" si="1"/>
        <v>524.009</v>
      </c>
    </row>
    <row r="29" spans="1:22" s="237" customFormat="1" ht="12.75">
      <c r="A29" s="232" t="s">
        <v>38</v>
      </c>
      <c r="B29" s="313">
        <f>'FRUITS8-9 '!Z28</f>
        <v>32.946</v>
      </c>
      <c r="C29" s="313">
        <f>'FRUITS8-9 '!AA28</f>
        <v>294.809</v>
      </c>
      <c r="D29" s="313">
        <f>'VEG8-9 '!X28</f>
        <v>44.274</v>
      </c>
      <c r="E29" s="313">
        <f>'VEG8-9 '!Y28</f>
        <v>415.794</v>
      </c>
      <c r="F29" s="308"/>
      <c r="G29" s="234"/>
      <c r="H29" s="250"/>
      <c r="I29" s="235"/>
      <c r="J29" s="235"/>
      <c r="K29" s="233"/>
      <c r="L29" s="233"/>
      <c r="M29" s="2">
        <v>16.6</v>
      </c>
      <c r="N29" s="2">
        <v>69.91</v>
      </c>
      <c r="O29" s="183">
        <f>'PLANTATION8-9'!J29</f>
        <v>12.36</v>
      </c>
      <c r="P29" s="183">
        <f>'PLANTATION8-9'!K29</f>
        <v>17.1</v>
      </c>
      <c r="Q29" s="235"/>
      <c r="R29" s="235"/>
      <c r="S29" s="235"/>
      <c r="T29" s="235"/>
      <c r="U29" s="236">
        <f t="shared" si="2"/>
        <v>106.17999999999999</v>
      </c>
      <c r="V29" s="9">
        <f t="shared" si="1"/>
        <v>797.613</v>
      </c>
    </row>
    <row r="30" spans="1:22" s="237" customFormat="1" ht="12.75">
      <c r="A30" s="232" t="s">
        <v>39</v>
      </c>
      <c r="B30" s="313">
        <f>'FRUITS8-9 '!Z29</f>
        <v>34.065</v>
      </c>
      <c r="C30" s="313">
        <f>'FRUITS8-9 '!AA29</f>
        <v>123.06900000000002</v>
      </c>
      <c r="D30" s="313">
        <f>'VEG8-9 '!X29</f>
        <v>14.435</v>
      </c>
      <c r="E30" s="313">
        <f>'VEG8-9 '!Y29</f>
        <v>114.374</v>
      </c>
      <c r="F30" s="304">
        <v>0.215</v>
      </c>
      <c r="G30" s="234">
        <v>0</v>
      </c>
      <c r="H30" s="4">
        <f>75+27+40+3.2+23</f>
        <v>168.2</v>
      </c>
      <c r="I30" s="235">
        <f>0.05+0.455+0.545</f>
        <v>1.05</v>
      </c>
      <c r="J30" s="235">
        <f>1.592+2.725</f>
        <v>4.317</v>
      </c>
      <c r="K30" s="233"/>
      <c r="L30" s="233"/>
      <c r="M30" s="2">
        <v>22.67</v>
      </c>
      <c r="N30" s="2">
        <v>80.62</v>
      </c>
      <c r="O30" s="183">
        <f>'PLANTATION8-9'!J30</f>
        <v>6.58</v>
      </c>
      <c r="P30" s="183">
        <f>'PLANTATION8-9'!K30</f>
        <v>8.21</v>
      </c>
      <c r="Q30" s="235"/>
      <c r="R30" s="235"/>
      <c r="S30" s="235"/>
      <c r="T30" s="235"/>
      <c r="U30" s="236">
        <f t="shared" si="2"/>
        <v>79.015</v>
      </c>
      <c r="V30" s="9">
        <f t="shared" si="1"/>
        <v>330.59</v>
      </c>
    </row>
    <row r="31" spans="1:22" s="249" customFormat="1" ht="12.75">
      <c r="A31" s="246" t="s">
        <v>40</v>
      </c>
      <c r="B31" s="313">
        <f>'FRUITS8-9 '!Z30</f>
        <v>18.156000000000002</v>
      </c>
      <c r="C31" s="313">
        <f>'FRUITS8-9 '!AA30</f>
        <v>151.26999999999998</v>
      </c>
      <c r="D31" s="313">
        <f>'VEG8-9 '!X30</f>
        <v>10.379999999999999</v>
      </c>
      <c r="E31" s="313">
        <f>'VEG8-9 '!Y30</f>
        <v>78.33</v>
      </c>
      <c r="F31" s="312">
        <v>0.019</v>
      </c>
      <c r="G31" s="234">
        <v>0</v>
      </c>
      <c r="H31" s="4">
        <v>17</v>
      </c>
      <c r="I31" s="247"/>
      <c r="J31" s="247"/>
      <c r="K31" s="248"/>
      <c r="L31" s="248"/>
      <c r="M31" s="2">
        <v>7.22</v>
      </c>
      <c r="N31" s="2">
        <v>38.62</v>
      </c>
      <c r="O31" s="183">
        <f>'PLANTATION8-9'!J31</f>
        <v>1.1</v>
      </c>
      <c r="P31" s="183">
        <f>'PLANTATION8-9'!K31</f>
        <v>1.437646249139711</v>
      </c>
      <c r="Q31" s="248"/>
      <c r="R31" s="248"/>
      <c r="S31" s="248"/>
      <c r="T31" s="248"/>
      <c r="U31" s="236">
        <f t="shared" si="2"/>
        <v>36.875</v>
      </c>
      <c r="V31" s="9">
        <f t="shared" si="1"/>
        <v>269.6576462491397</v>
      </c>
    </row>
    <row r="32" spans="1:22" ht="12.75">
      <c r="A32" s="238" t="s">
        <v>72</v>
      </c>
      <c r="B32" s="313">
        <f>'FRUITS8-9 '!Z31</f>
        <v>285.766</v>
      </c>
      <c r="C32" s="313">
        <f>'FRUITS8-9 '!AA31</f>
        <v>1532.84</v>
      </c>
      <c r="D32" s="313">
        <f>'VEG8-9 '!X31</f>
        <v>672.4780000000001</v>
      </c>
      <c r="E32" s="313">
        <f>'VEG8-9 '!Y31</f>
        <v>8467.400000000001</v>
      </c>
      <c r="F32" s="305">
        <f>1.4+1.5+0.75+2</f>
        <v>5.65</v>
      </c>
      <c r="G32" s="3">
        <f>0.9+1.35+1.125+20</f>
        <v>23.375</v>
      </c>
      <c r="H32" s="4"/>
      <c r="I32" s="5">
        <v>1.5</v>
      </c>
      <c r="J32" s="5">
        <v>0.28</v>
      </c>
      <c r="K32" s="1"/>
      <c r="L32" s="1"/>
      <c r="M32" s="2">
        <v>146.72</v>
      </c>
      <c r="N32" s="2">
        <v>198.22</v>
      </c>
      <c r="O32" s="183">
        <f>'PLANTATION8-9'!J32</f>
        <v>188</v>
      </c>
      <c r="P32" s="183">
        <f>'PLANTATION8-9'!K32</f>
        <v>284.81417756366136</v>
      </c>
      <c r="Q32" s="5"/>
      <c r="R32" s="5"/>
      <c r="S32" s="5"/>
      <c r="T32" s="5"/>
      <c r="U32" s="9">
        <f t="shared" si="2"/>
        <v>1300.114</v>
      </c>
      <c r="V32" s="9">
        <f t="shared" si="1"/>
        <v>10506.929177563663</v>
      </c>
    </row>
    <row r="33" spans="1:22" s="249" customFormat="1" ht="12.75">
      <c r="A33" s="246" t="s">
        <v>42</v>
      </c>
      <c r="B33" s="313">
        <f>'FRUITS8-9 '!Z32</f>
        <v>1.249</v>
      </c>
      <c r="C33" s="313">
        <f>'FRUITS8-9 '!AA32</f>
        <v>27.894000000000005</v>
      </c>
      <c r="D33" s="313">
        <f>'VEG8-9 '!X32</f>
        <v>4.4510000000000005</v>
      </c>
      <c r="E33" s="313">
        <f>'VEG8-9 '!Y32</f>
        <v>81.00999999999999</v>
      </c>
      <c r="F33" s="312">
        <v>0.286</v>
      </c>
      <c r="G33" s="234">
        <v>2.368</v>
      </c>
      <c r="H33" s="250"/>
      <c r="I33" s="247">
        <f>0.019+0.02</f>
        <v>0.039</v>
      </c>
      <c r="J33" s="247">
        <f>0.068</f>
        <v>0.068</v>
      </c>
      <c r="K33" s="248"/>
      <c r="L33" s="248"/>
      <c r="M33" s="2">
        <v>0.02</v>
      </c>
      <c r="N33" s="2">
        <v>0.03</v>
      </c>
      <c r="O33" s="183">
        <f>'PLANTATION8-9'!J33</f>
        <v>8.26</v>
      </c>
      <c r="P33" s="183">
        <f>'PLANTATION8-9'!K33</f>
        <v>20.386951135581555</v>
      </c>
      <c r="Q33" s="248"/>
      <c r="R33" s="248"/>
      <c r="S33" s="248"/>
      <c r="T33" s="248"/>
      <c r="U33" s="236">
        <f t="shared" si="2"/>
        <v>14.305</v>
      </c>
      <c r="V33" s="9">
        <f t="shared" si="1"/>
        <v>131.75695113558155</v>
      </c>
    </row>
    <row r="34" spans="1:22" ht="12.75">
      <c r="A34" s="238" t="s">
        <v>43</v>
      </c>
      <c r="B34" s="313">
        <f>'FRUITS8-9 '!Z33</f>
        <v>64.79899999999999</v>
      </c>
      <c r="C34" s="313">
        <f>'FRUITS8-9 '!AA33</f>
        <v>1182.884</v>
      </c>
      <c r="D34" s="313">
        <f>'VEG8-9 '!X33</f>
        <v>178.41199999999998</v>
      </c>
      <c r="E34" s="313">
        <f>'VEG8-9 '!Y33</f>
        <v>3410.315</v>
      </c>
      <c r="F34" s="305">
        <v>1.7</v>
      </c>
      <c r="G34" s="3">
        <v>82</v>
      </c>
      <c r="H34" s="4"/>
      <c r="I34" s="5">
        <v>2.4</v>
      </c>
      <c r="J34" s="5">
        <v>1.1</v>
      </c>
      <c r="K34" s="1"/>
      <c r="L34" s="1"/>
      <c r="M34" s="2">
        <v>5.15</v>
      </c>
      <c r="N34" s="2">
        <v>23.69</v>
      </c>
      <c r="O34" s="183">
        <f>'PLANTATION8-9'!J34</f>
        <v>0</v>
      </c>
      <c r="P34" s="183">
        <f>'PLANTATION8-9'!K34</f>
        <v>0</v>
      </c>
      <c r="Q34" s="1"/>
      <c r="R34" s="1"/>
      <c r="S34" s="1">
        <v>20</v>
      </c>
      <c r="T34" s="5"/>
      <c r="U34" s="9">
        <f t="shared" si="2"/>
        <v>252.46099999999996</v>
      </c>
      <c r="V34" s="9">
        <f t="shared" si="1"/>
        <v>4719.9890000000005</v>
      </c>
    </row>
    <row r="35" spans="1:22" ht="12.75">
      <c r="A35" s="238" t="s">
        <v>44</v>
      </c>
      <c r="B35" s="313">
        <f>'FRUITS8-9 '!Z34</f>
        <v>30.600000000000005</v>
      </c>
      <c r="C35" s="313">
        <f>'FRUITS8-9 '!AA34</f>
        <v>484.6579999999999</v>
      </c>
      <c r="D35" s="313">
        <f>'VEG8-9 '!X34</f>
        <v>125.57300000000002</v>
      </c>
      <c r="E35" s="313">
        <f>'VEG8-9 '!Y34</f>
        <v>736.7009999999999</v>
      </c>
      <c r="F35" s="305">
        <v>3.354</v>
      </c>
      <c r="G35" s="3">
        <v>4.857</v>
      </c>
      <c r="H35" s="4"/>
      <c r="I35" s="5">
        <v>226.169</v>
      </c>
      <c r="J35" s="5">
        <v>106.214</v>
      </c>
      <c r="K35" s="1"/>
      <c r="L35" s="1"/>
      <c r="M35" s="2">
        <v>567.4</v>
      </c>
      <c r="N35" s="2">
        <v>471.76</v>
      </c>
      <c r="O35" s="183">
        <f>'PLANTATION8-9'!J35</f>
        <v>0</v>
      </c>
      <c r="P35" s="183">
        <f>'PLANTATION8-9'!K35</f>
        <v>0</v>
      </c>
      <c r="Q35" s="1"/>
      <c r="R35" s="1"/>
      <c r="S35" s="1">
        <v>0.7</v>
      </c>
      <c r="T35" s="1"/>
      <c r="U35" s="9">
        <f t="shared" si="2"/>
        <v>953.096</v>
      </c>
      <c r="V35" s="9">
        <f t="shared" si="1"/>
        <v>1804.8899999999999</v>
      </c>
    </row>
    <row r="36" spans="1:22" s="237" customFormat="1" ht="12.75">
      <c r="A36" s="232" t="s">
        <v>45</v>
      </c>
      <c r="B36" s="313">
        <f>'FRUITS8-9 '!Z35</f>
        <v>10.498000000000001</v>
      </c>
      <c r="C36" s="313">
        <f>'FRUITS8-9 '!AA35</f>
        <v>15.671</v>
      </c>
      <c r="D36" s="313">
        <f>'VEG8-9 '!X35</f>
        <v>21.486</v>
      </c>
      <c r="E36" s="313">
        <f>'VEG8-9 '!Y35</f>
        <v>98.039</v>
      </c>
      <c r="F36" s="304">
        <v>0.151</v>
      </c>
      <c r="G36" s="234"/>
      <c r="H36" s="4">
        <v>65.742</v>
      </c>
      <c r="I36" s="235"/>
      <c r="J36" s="235"/>
      <c r="K36" s="233"/>
      <c r="L36" s="233"/>
      <c r="M36" s="2">
        <v>26.58</v>
      </c>
      <c r="N36" s="2">
        <v>41.73</v>
      </c>
      <c r="O36" s="183">
        <f>'PLANTATION8-9'!J36</f>
        <v>0</v>
      </c>
      <c r="P36" s="183">
        <f>'PLANTATION8-9'!K36</f>
        <v>0</v>
      </c>
      <c r="Q36" s="233"/>
      <c r="R36" s="233"/>
      <c r="S36" s="233"/>
      <c r="T36" s="233"/>
      <c r="U36" s="236">
        <f t="shared" si="2"/>
        <v>58.715</v>
      </c>
      <c r="V36" s="9">
        <f t="shared" si="1"/>
        <v>155.44</v>
      </c>
    </row>
    <row r="37" spans="1:22" ht="12.75">
      <c r="A37" s="238" t="s">
        <v>73</v>
      </c>
      <c r="B37" s="313">
        <f>'FRUITS8-9 '!Z36</f>
        <v>318.637</v>
      </c>
      <c r="C37" s="313">
        <f>'FRUITS8-9 '!AA36</f>
        <v>8207.744999999999</v>
      </c>
      <c r="D37" s="313">
        <f>'VEG8-9 '!X36</f>
        <v>286.277</v>
      </c>
      <c r="E37" s="313">
        <f>'VEG8-9 '!Y36</f>
        <v>8693.475</v>
      </c>
      <c r="F37" s="305">
        <v>29.144</v>
      </c>
      <c r="G37" s="3">
        <v>233.673</v>
      </c>
      <c r="H37" s="4"/>
      <c r="I37" s="5">
        <v>8.271</v>
      </c>
      <c r="J37" s="5">
        <v>12.154</v>
      </c>
      <c r="K37" s="1"/>
      <c r="L37" s="1"/>
      <c r="M37" s="2">
        <v>125.08</v>
      </c>
      <c r="N37" s="2">
        <v>235.13</v>
      </c>
      <c r="O37" s="183">
        <f>'PLANTATION8-9'!J37</f>
        <v>521.48</v>
      </c>
      <c r="P37" s="183">
        <f>'PLANTATION8-9'!K37</f>
        <v>3497.8904748795594</v>
      </c>
      <c r="Q37" s="5"/>
      <c r="R37" s="5"/>
      <c r="S37" s="5"/>
      <c r="T37" s="5"/>
      <c r="U37" s="9">
        <f t="shared" si="2"/>
        <v>1288.8890000000001</v>
      </c>
      <c r="V37" s="9">
        <f t="shared" si="1"/>
        <v>20880.067474879557</v>
      </c>
    </row>
    <row r="38" spans="1:22" ht="12.75">
      <c r="A38" s="238" t="s">
        <v>47</v>
      </c>
      <c r="B38" s="313">
        <f>'FRUITS8-9 '!Z37</f>
        <v>36.519999999999996</v>
      </c>
      <c r="C38" s="313">
        <f>'FRUITS8-9 '!AA37</f>
        <v>477.18000000000006</v>
      </c>
      <c r="D38" s="313">
        <f>'VEG8-9 '!X37</f>
        <v>25.588</v>
      </c>
      <c r="E38" s="313">
        <f>'VEG8-9 '!Y37</f>
        <v>294.712</v>
      </c>
      <c r="F38" s="305"/>
      <c r="G38" s="3"/>
      <c r="H38" s="4"/>
      <c r="I38" s="5"/>
      <c r="J38" s="5"/>
      <c r="K38" s="1"/>
      <c r="L38" s="1"/>
      <c r="M38" s="2">
        <v>4.5</v>
      </c>
      <c r="N38" s="2">
        <v>10.28</v>
      </c>
      <c r="O38" s="183">
        <f>'PLANTATION8-9'!J38</f>
        <v>9.2</v>
      </c>
      <c r="P38" s="183">
        <f>'PLANTATION8-9'!K38</f>
        <v>14.745836200963524</v>
      </c>
      <c r="Q38" s="5"/>
      <c r="R38" s="5"/>
      <c r="S38" s="5"/>
      <c r="T38" s="5"/>
      <c r="U38" s="9">
        <f t="shared" si="2"/>
        <v>75.808</v>
      </c>
      <c r="V38" s="9">
        <f t="shared" si="1"/>
        <v>796.9178362009635</v>
      </c>
    </row>
    <row r="39" spans="1:22" ht="12.75">
      <c r="A39" s="238" t="s">
        <v>48</v>
      </c>
      <c r="B39" s="313">
        <f>'FRUITS8-9 '!Z38</f>
        <v>346.294</v>
      </c>
      <c r="C39" s="313">
        <f>'FRUITS8-9 '!AA38</f>
        <v>4439.570000000001</v>
      </c>
      <c r="D39" s="313">
        <f>'VEG8-9 '!X38</f>
        <v>987.8489999999999</v>
      </c>
      <c r="E39" s="313">
        <f>'VEG8-9 '!Y38</f>
        <v>18950.082</v>
      </c>
      <c r="F39" s="305">
        <f>10.065+3.467</f>
        <v>13.532</v>
      </c>
      <c r="G39" s="3">
        <v>24.326</v>
      </c>
      <c r="H39" s="4">
        <v>3467</v>
      </c>
      <c r="I39" s="5">
        <v>133.7</v>
      </c>
      <c r="J39" s="5">
        <v>13.4</v>
      </c>
      <c r="K39" s="1"/>
      <c r="L39" s="1"/>
      <c r="M39" s="2">
        <v>56.48</v>
      </c>
      <c r="N39" s="2">
        <v>170.06</v>
      </c>
      <c r="O39" s="183">
        <f>'PLANTATION8-9'!J39</f>
        <v>0</v>
      </c>
      <c r="P39" s="183">
        <f>'PLANTATION8-9'!K39</f>
        <v>0</v>
      </c>
      <c r="Q39" s="1"/>
      <c r="R39" s="1"/>
      <c r="S39" s="1">
        <v>4</v>
      </c>
      <c r="T39" s="1"/>
      <c r="U39" s="9">
        <f t="shared" si="2"/>
        <v>1537.855</v>
      </c>
      <c r="V39" s="9">
        <f t="shared" si="1"/>
        <v>23601.438000000002</v>
      </c>
    </row>
    <row r="40" spans="1:22" s="10" customFormat="1" ht="12.75">
      <c r="A40" s="7" t="s">
        <v>50</v>
      </c>
      <c r="B40" s="313">
        <f>'FRUITS8-9 '!Z39</f>
        <v>171.71</v>
      </c>
      <c r="C40" s="313">
        <f>'FRUITS8-9 '!AA39</f>
        <v>725.2719999999999</v>
      </c>
      <c r="D40" s="313">
        <f>'VEG8-9 '!X39</f>
        <v>81.818</v>
      </c>
      <c r="E40" s="313">
        <f>'VEG8-9 '!Y39</f>
        <v>1077.55</v>
      </c>
      <c r="F40" s="307">
        <v>0.85</v>
      </c>
      <c r="G40" s="3">
        <v>0.61</v>
      </c>
      <c r="H40" s="4">
        <v>2056</v>
      </c>
      <c r="I40" s="6"/>
      <c r="J40" s="6"/>
      <c r="K40" s="5">
        <v>18.6</v>
      </c>
      <c r="L40" s="5">
        <v>16.3</v>
      </c>
      <c r="M40" s="2">
        <v>1.94</v>
      </c>
      <c r="N40" s="2">
        <v>13.06</v>
      </c>
      <c r="O40" s="183">
        <f>'PLANTATION8-9'!J40</f>
        <v>0</v>
      </c>
      <c r="P40" s="183">
        <f>'PLANTATION8-9'!K40</f>
        <v>0</v>
      </c>
      <c r="Q40" s="8"/>
      <c r="R40" s="8"/>
      <c r="S40" s="8"/>
      <c r="T40" s="8"/>
      <c r="U40" s="9">
        <f t="shared" si="2"/>
        <v>274.918</v>
      </c>
      <c r="V40" s="9">
        <f t="shared" si="1"/>
        <v>1832.7919999999997</v>
      </c>
    </row>
    <row r="41" spans="1:22" ht="12.75">
      <c r="A41" s="238" t="s">
        <v>51</v>
      </c>
      <c r="B41" s="313">
        <f>'FRUITS8-9 '!Z40</f>
        <v>203.24500000000003</v>
      </c>
      <c r="C41" s="313">
        <f>'FRUITS8-9 '!AA40</f>
        <v>2775.601</v>
      </c>
      <c r="D41" s="313">
        <f>'VEG8-9 '!X40</f>
        <v>1323.609</v>
      </c>
      <c r="E41" s="313">
        <f>'VEG8-9 '!Y40</f>
        <v>22704.256</v>
      </c>
      <c r="F41" s="305">
        <f>8.461+12.609</f>
        <v>21.07</v>
      </c>
      <c r="G41" s="252">
        <v>52.008</v>
      </c>
      <c r="H41" s="4">
        <v>21232</v>
      </c>
      <c r="I41" s="5"/>
      <c r="J41" s="5"/>
      <c r="K41" s="1"/>
      <c r="L41" s="1"/>
      <c r="M41" s="2">
        <v>95.87</v>
      </c>
      <c r="N41" s="2">
        <v>188.4</v>
      </c>
      <c r="O41" s="183">
        <f>'PLANTATION8-9'!J41</f>
        <v>50.99</v>
      </c>
      <c r="P41" s="183">
        <f>'PLANTATION8-9'!K41</f>
        <v>277.51443909153477</v>
      </c>
      <c r="Q41" s="5"/>
      <c r="R41" s="5"/>
      <c r="S41" s="5"/>
      <c r="T41" s="5"/>
      <c r="U41" s="9">
        <f t="shared" si="2"/>
        <v>1694.7839999999999</v>
      </c>
      <c r="V41" s="9">
        <f t="shared" si="1"/>
        <v>25997.779439091537</v>
      </c>
    </row>
    <row r="42" spans="1:22" s="255" customFormat="1" ht="14.25">
      <c r="A42" s="238" t="s">
        <v>13</v>
      </c>
      <c r="B42" s="314">
        <f>'FRUITS8-9 '!Z41</f>
        <v>6100.897999999999</v>
      </c>
      <c r="C42" s="314">
        <f>'FRUITS8-9 '!AA41</f>
        <v>68465.52549999999</v>
      </c>
      <c r="D42" s="314">
        <f>'VEG8-9 '!X41</f>
        <v>7980.709000000003</v>
      </c>
      <c r="E42" s="314">
        <f>'VEG8-9 '!Y41</f>
        <v>129076.77900000001</v>
      </c>
      <c r="F42" s="9">
        <f>SUM(F7:F41)</f>
        <v>166.518</v>
      </c>
      <c r="G42" s="238">
        <f>SUM(G7:G41)</f>
        <v>987.393</v>
      </c>
      <c r="H42" s="253">
        <f aca="true" t="shared" si="3" ref="H42:R42">SUM(H7:H41)</f>
        <v>47941.971999999994</v>
      </c>
      <c r="I42" s="238">
        <f t="shared" si="3"/>
        <v>430.19</v>
      </c>
      <c r="J42" s="238">
        <f>SUM(J7:J41)</f>
        <v>430.02899999999994</v>
      </c>
      <c r="K42" s="238">
        <f t="shared" si="3"/>
        <v>136.494</v>
      </c>
      <c r="L42" s="238">
        <f>SUM(L7:L41)</f>
        <v>172.621</v>
      </c>
      <c r="M42" s="254">
        <f>SUM(M6:M41)</f>
        <v>2629.43</v>
      </c>
      <c r="N42" s="254">
        <f>SUM(N7:N41)</f>
        <v>4144.919999999999</v>
      </c>
      <c r="O42" s="238">
        <f>SUM(O7:O41)</f>
        <v>3217.3389999999995</v>
      </c>
      <c r="P42" s="238">
        <f>SUM(P7:P41)</f>
        <v>11336.393833448037</v>
      </c>
      <c r="Q42" s="238">
        <f t="shared" si="3"/>
        <v>0</v>
      </c>
      <c r="R42" s="238">
        <f t="shared" si="3"/>
        <v>0</v>
      </c>
      <c r="S42" s="238">
        <f>SUM(S7:S41)</f>
        <v>37.278000000000006</v>
      </c>
      <c r="T42" s="238">
        <v>65</v>
      </c>
      <c r="U42" s="9">
        <f>B42+D42+F42+I42+K42+M42+O42</f>
        <v>20661.578</v>
      </c>
      <c r="V42" s="9">
        <f>C42+E42+G42+J42+L42+N42+P42+S42+T42</f>
        <v>214715.93933344807</v>
      </c>
    </row>
    <row r="43" spans="1:22" ht="12">
      <c r="A43" s="226" t="s">
        <v>85</v>
      </c>
      <c r="B43" s="256"/>
      <c r="C43" s="256"/>
      <c r="D43" s="257"/>
      <c r="E43" s="257"/>
      <c r="F43" s="258"/>
      <c r="G43" s="258"/>
      <c r="H43" s="257"/>
      <c r="I43" s="241"/>
      <c r="J43" s="241"/>
      <c r="K43" s="241"/>
      <c r="N43" s="241" t="s">
        <v>49</v>
      </c>
      <c r="U43" s="9"/>
      <c r="V43" s="238"/>
    </row>
    <row r="44" spans="1:22" ht="12">
      <c r="A44" s="260" t="s">
        <v>86</v>
      </c>
      <c r="B44" s="256"/>
      <c r="C44" s="256"/>
      <c r="D44" s="257"/>
      <c r="E44" s="257"/>
      <c r="F44" s="257"/>
      <c r="G44" s="257"/>
      <c r="H44" s="257"/>
      <c r="I44" s="241"/>
      <c r="J44" s="241"/>
      <c r="K44" s="241"/>
      <c r="V44" s="255"/>
    </row>
    <row r="45" spans="1:22" ht="12">
      <c r="A45" s="260" t="s">
        <v>91</v>
      </c>
      <c r="B45" s="256"/>
      <c r="C45" s="256"/>
      <c r="D45" s="257"/>
      <c r="E45" s="257"/>
      <c r="F45" s="257"/>
      <c r="G45" s="257"/>
      <c r="H45" s="257"/>
      <c r="I45" s="241"/>
      <c r="J45" s="241"/>
      <c r="K45" s="241"/>
      <c r="U45" s="255" t="s">
        <v>49</v>
      </c>
      <c r="V45" s="255" t="s">
        <v>49</v>
      </c>
    </row>
    <row r="46" spans="1:19" ht="12.75" customHeight="1">
      <c r="A46" s="271" t="s">
        <v>88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</row>
    <row r="47" spans="1:19" ht="12.75" customHeight="1">
      <c r="A47" s="262" t="s">
        <v>92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</row>
    <row r="48" spans="1:19" ht="12.75" customHeight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63"/>
      <c r="R48" s="263"/>
      <c r="S48" s="263"/>
    </row>
    <row r="49" spans="10:19" ht="12.75" customHeight="1">
      <c r="J49" s="252" t="s">
        <v>49</v>
      </c>
      <c r="K49" s="259" t="s">
        <v>49</v>
      </c>
      <c r="Q49" s="263"/>
      <c r="R49" s="263"/>
      <c r="S49" s="263"/>
    </row>
    <row r="50" spans="1:19" ht="12.75" customHeight="1">
      <c r="A50" s="262"/>
      <c r="B50" s="263"/>
      <c r="C50" s="263" t="s">
        <v>49</v>
      </c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</row>
    <row r="51" spans="1:19" ht="12.75" customHeight="1">
      <c r="A51" s="262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</row>
    <row r="52" spans="1:19" ht="12.75" customHeight="1">
      <c r="A52" s="262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</row>
    <row r="53" spans="1:19" ht="12.75" customHeight="1">
      <c r="A53" s="262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</row>
    <row r="54" spans="1:19" ht="12.75" customHeight="1">
      <c r="A54" s="262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</row>
    <row r="55" spans="1:19" ht="12.75" customHeight="1">
      <c r="A55" s="262"/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</row>
    <row r="56" spans="1:19" ht="12.75" customHeight="1">
      <c r="A56" s="262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</row>
    <row r="57" spans="1:6" ht="12">
      <c r="A57" s="264"/>
      <c r="B57" s="256"/>
      <c r="C57" s="256"/>
      <c r="D57" s="256"/>
      <c r="E57" s="256"/>
      <c r="F57" s="256"/>
    </row>
    <row r="58" spans="1:6" ht="12">
      <c r="A58" s="264"/>
      <c r="B58" s="256"/>
      <c r="C58" s="256"/>
      <c r="D58" s="256"/>
      <c r="E58" s="256"/>
      <c r="F58" s="256"/>
    </row>
    <row r="59" spans="1:6" ht="12">
      <c r="A59" s="264"/>
      <c r="B59" s="256"/>
      <c r="C59" s="256"/>
      <c r="D59" s="256"/>
      <c r="E59" s="256"/>
      <c r="F59" s="256"/>
    </row>
    <row r="60" spans="1:6" ht="12">
      <c r="A60" s="264"/>
      <c r="B60" s="256"/>
      <c r="C60" s="256"/>
      <c r="D60" s="256"/>
      <c r="E60" s="256"/>
      <c r="F60" s="256"/>
    </row>
    <row r="61" spans="1:6" ht="12">
      <c r="A61" s="256"/>
      <c r="B61" s="256"/>
      <c r="C61" s="256"/>
      <c r="D61" s="256"/>
      <c r="E61" s="256"/>
      <c r="F61" s="256"/>
    </row>
    <row r="62" spans="1:10" ht="12">
      <c r="A62" s="241"/>
      <c r="B62" s="244"/>
      <c r="C62" s="244"/>
      <c r="D62" s="241"/>
      <c r="E62" s="241"/>
      <c r="F62" s="241"/>
      <c r="G62" s="241"/>
      <c r="H62" s="241"/>
      <c r="I62" s="241"/>
      <c r="J62" s="241"/>
    </row>
    <row r="66" ht="12">
      <c r="J66" s="252" t="s">
        <v>49</v>
      </c>
    </row>
  </sheetData>
  <sheetProtection/>
  <mergeCells count="14">
    <mergeCell ref="U4:V4"/>
    <mergeCell ref="G5:H5"/>
    <mergeCell ref="A46:S46"/>
    <mergeCell ref="A1:V1"/>
    <mergeCell ref="T2:V2"/>
    <mergeCell ref="T3:V3"/>
    <mergeCell ref="A48:P48"/>
    <mergeCell ref="B4:C4"/>
    <mergeCell ref="D4:E4"/>
    <mergeCell ref="F4:H4"/>
    <mergeCell ref="I4:J4"/>
    <mergeCell ref="K4:L4"/>
    <mergeCell ref="M4:N4"/>
    <mergeCell ref="O4:P4"/>
  </mergeCells>
  <printOptions gridLines="1"/>
  <pageMargins left="0.39" right="0.18" top="0.95" bottom="0.74" header="0.45" footer="0.17"/>
  <pageSetup horizontalDpi="300" verticalDpi="300" orientation="landscape" scale="80" r:id="rId1"/>
  <headerFooter alignWithMargins="0">
    <oddHeader>&amp;C&amp;"Arial,Bold"&amp;UAnnexure - 4
&amp;U
Statewise Area and Production of Various Horticulture Crops for the Year 2008-09
&amp;R&amp;"Arial,Bold"&amp;8Area in 000' ha
Production in 000'M&amp;10T</oddHeader>
    <oddFooter>&amp;L&amp;F</oddFooter>
  </headerFooter>
  <rowBreaks count="1" manualBreakCount="1">
    <brk id="48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4"/>
  <sheetViews>
    <sheetView showZeros="0" view="pageBreakPreview" zoomScaleSheetLayoutView="100" zoomScalePageLayoutView="0" workbookViewId="0" topLeftCell="A1">
      <selection activeCell="A1" sqref="A1:W3"/>
    </sheetView>
  </sheetViews>
  <sheetFormatPr defaultColWidth="9.140625" defaultRowHeight="12.75"/>
  <cols>
    <col min="1" max="1" width="17.57421875" style="77" customWidth="1"/>
    <col min="2" max="2" width="4.57421875" style="77" customWidth="1"/>
    <col min="3" max="3" width="6.57421875" style="77" bestFit="1" customWidth="1"/>
    <col min="4" max="4" width="5.57421875" style="77" customWidth="1"/>
    <col min="5" max="5" width="6.57421875" style="77" customWidth="1"/>
    <col min="6" max="6" width="7.421875" style="77" bestFit="1" customWidth="1"/>
    <col min="7" max="7" width="6.57421875" style="77" customWidth="1"/>
    <col min="8" max="8" width="4.57421875" style="77" customWidth="1"/>
    <col min="9" max="9" width="5.7109375" style="77" customWidth="1"/>
    <col min="10" max="10" width="5.421875" style="77" customWidth="1"/>
    <col min="11" max="11" width="5.7109375" style="77" customWidth="1"/>
    <col min="12" max="12" width="4.7109375" style="77" customWidth="1"/>
    <col min="13" max="14" width="5.57421875" style="77" customWidth="1"/>
    <col min="15" max="15" width="6.7109375" style="77" customWidth="1"/>
    <col min="16" max="16" width="5.421875" style="77" customWidth="1"/>
    <col min="17" max="17" width="5.57421875" style="77" customWidth="1"/>
    <col min="18" max="18" width="5.28125" style="77" customWidth="1"/>
    <col min="19" max="19" width="5.421875" style="77" customWidth="1"/>
    <col min="20" max="20" width="4.57421875" style="77" customWidth="1"/>
    <col min="21" max="21" width="5.28125" style="77" customWidth="1"/>
    <col min="22" max="22" width="5.00390625" style="77" customWidth="1"/>
    <col min="23" max="23" width="6.00390625" style="77" customWidth="1"/>
    <col min="24" max="24" width="7.7109375" style="77" customWidth="1"/>
    <col min="25" max="25" width="7.421875" style="77" customWidth="1"/>
    <col min="26" max="26" width="7.7109375" style="77" customWidth="1"/>
    <col min="27" max="27" width="8.8515625" style="77" customWidth="1"/>
    <col min="28" max="16384" width="9.140625" style="77" customWidth="1"/>
  </cols>
  <sheetData>
    <row r="1" spans="1:22" s="241" customFormat="1" ht="12">
      <c r="A1" s="298" t="s">
        <v>150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</row>
    <row r="2" spans="1:22" s="241" customFormat="1" ht="12">
      <c r="A2" s="261"/>
      <c r="B2" s="242"/>
      <c r="C2" s="242"/>
      <c r="D2" s="252"/>
      <c r="E2" s="252"/>
      <c r="F2" s="252"/>
      <c r="G2" s="252"/>
      <c r="H2" s="252"/>
      <c r="I2" s="252"/>
      <c r="J2" s="252"/>
      <c r="K2" s="259"/>
      <c r="L2" s="259"/>
      <c r="O2" s="252"/>
      <c r="P2" s="252"/>
      <c r="Q2" s="252"/>
      <c r="R2" s="252"/>
      <c r="S2" s="252"/>
      <c r="T2" s="299" t="s">
        <v>148</v>
      </c>
      <c r="U2" s="299"/>
      <c r="V2" s="299"/>
    </row>
    <row r="3" spans="1:23" s="241" customFormat="1" ht="12" customHeight="1">
      <c r="A3" s="261"/>
      <c r="B3" s="242"/>
      <c r="C3" s="242"/>
      <c r="D3" s="252"/>
      <c r="E3" s="252"/>
      <c r="F3" s="252"/>
      <c r="G3" s="252"/>
      <c r="H3" s="252"/>
      <c r="I3" s="252"/>
      <c r="J3" s="252"/>
      <c r="K3" s="259"/>
      <c r="L3" s="259"/>
      <c r="O3" s="252"/>
      <c r="P3" s="252"/>
      <c r="Q3" s="252"/>
      <c r="R3" s="252"/>
      <c r="S3" s="252"/>
      <c r="T3" s="300" t="s">
        <v>149</v>
      </c>
      <c r="U3" s="300"/>
      <c r="V3" s="300"/>
      <c r="W3" s="300"/>
    </row>
    <row r="4" spans="1:28" ht="11.25">
      <c r="A4" s="216" t="s">
        <v>0</v>
      </c>
      <c r="B4" s="278" t="s">
        <v>1</v>
      </c>
      <c r="C4" s="278"/>
      <c r="D4" s="278" t="s">
        <v>2</v>
      </c>
      <c r="E4" s="278"/>
      <c r="F4" s="278" t="s">
        <v>3</v>
      </c>
      <c r="G4" s="278"/>
      <c r="H4" s="278" t="s">
        <v>4</v>
      </c>
      <c r="I4" s="278"/>
      <c r="J4" s="278" t="s">
        <v>5</v>
      </c>
      <c r="K4" s="278"/>
      <c r="L4" s="278" t="s">
        <v>6</v>
      </c>
      <c r="M4" s="278"/>
      <c r="N4" s="278" t="s">
        <v>7</v>
      </c>
      <c r="O4" s="278"/>
      <c r="P4" s="278" t="s">
        <v>8</v>
      </c>
      <c r="Q4" s="278"/>
      <c r="R4" s="278" t="s">
        <v>9</v>
      </c>
      <c r="S4" s="278"/>
      <c r="T4" s="278" t="s">
        <v>10</v>
      </c>
      <c r="U4" s="278"/>
      <c r="V4" s="278" t="s">
        <v>11</v>
      </c>
      <c r="W4" s="278"/>
      <c r="X4" s="278" t="s">
        <v>12</v>
      </c>
      <c r="Y4" s="278"/>
      <c r="Z4" s="278" t="s">
        <v>13</v>
      </c>
      <c r="AA4" s="278"/>
      <c r="AB4" s="217"/>
    </row>
    <row r="5" spans="1:28" ht="11.25">
      <c r="A5" s="216"/>
      <c r="B5" s="218" t="s">
        <v>14</v>
      </c>
      <c r="C5" s="218" t="s">
        <v>15</v>
      </c>
      <c r="D5" s="218" t="s">
        <v>14</v>
      </c>
      <c r="E5" s="218" t="s">
        <v>15</v>
      </c>
      <c r="F5" s="218" t="s">
        <v>14</v>
      </c>
      <c r="G5" s="218" t="s">
        <v>15</v>
      </c>
      <c r="H5" s="218" t="s">
        <v>14</v>
      </c>
      <c r="I5" s="218" t="s">
        <v>15</v>
      </c>
      <c r="J5" s="218" t="s">
        <v>14</v>
      </c>
      <c r="K5" s="218" t="s">
        <v>15</v>
      </c>
      <c r="L5" s="218" t="s">
        <v>14</v>
      </c>
      <c r="M5" s="218" t="s">
        <v>15</v>
      </c>
      <c r="N5" s="218" t="s">
        <v>14</v>
      </c>
      <c r="O5" s="218" t="s">
        <v>15</v>
      </c>
      <c r="P5" s="218" t="s">
        <v>14</v>
      </c>
      <c r="Q5" s="218" t="s">
        <v>15</v>
      </c>
      <c r="R5" s="218" t="s">
        <v>14</v>
      </c>
      <c r="S5" s="218" t="s">
        <v>15</v>
      </c>
      <c r="T5" s="218" t="s">
        <v>14</v>
      </c>
      <c r="U5" s="218" t="s">
        <v>15</v>
      </c>
      <c r="V5" s="218" t="s">
        <v>14</v>
      </c>
      <c r="W5" s="218" t="s">
        <v>15</v>
      </c>
      <c r="X5" s="218" t="s">
        <v>14</v>
      </c>
      <c r="Y5" s="218" t="s">
        <v>15</v>
      </c>
      <c r="Z5" s="218" t="s">
        <v>14</v>
      </c>
      <c r="AA5" s="218" t="s">
        <v>15</v>
      </c>
      <c r="AB5" s="217"/>
    </row>
    <row r="6" spans="1:28" ht="11.25">
      <c r="A6" s="162" t="s">
        <v>16</v>
      </c>
      <c r="B6" s="62"/>
      <c r="C6" s="62"/>
      <c r="D6" s="62">
        <v>1.59</v>
      </c>
      <c r="E6" s="62">
        <v>15.419</v>
      </c>
      <c r="F6" s="62">
        <v>0.252</v>
      </c>
      <c r="G6" s="62">
        <v>1.489</v>
      </c>
      <c r="H6" s="62"/>
      <c r="I6" s="62"/>
      <c r="J6" s="62"/>
      <c r="K6" s="62"/>
      <c r="L6" s="62"/>
      <c r="M6" s="62"/>
      <c r="N6" s="62">
        <v>0.24</v>
      </c>
      <c r="O6" s="62">
        <v>1.899</v>
      </c>
      <c r="P6" s="62">
        <v>0.375</v>
      </c>
      <c r="Q6" s="62">
        <v>2.387</v>
      </c>
      <c r="R6" s="62">
        <v>0.15</v>
      </c>
      <c r="S6" s="62">
        <v>1.063</v>
      </c>
      <c r="T6" s="62"/>
      <c r="U6" s="62"/>
      <c r="V6" s="62">
        <v>0.126</v>
      </c>
      <c r="W6" s="62">
        <v>0.996</v>
      </c>
      <c r="X6" s="62">
        <v>0.271</v>
      </c>
      <c r="Y6" s="62">
        <v>1.688</v>
      </c>
      <c r="Z6" s="162">
        <f aca="true" t="shared" si="0" ref="Z6:AA40">B6+D6+F6+H6+J6+L6+N6+P6+R6+T6+V6+X6</f>
        <v>3.0039999999999996</v>
      </c>
      <c r="AA6" s="162">
        <f t="shared" si="0"/>
        <v>24.941</v>
      </c>
      <c r="AB6" s="217"/>
    </row>
    <row r="7" spans="1:28" ht="11.25">
      <c r="A7" s="162" t="s">
        <v>17</v>
      </c>
      <c r="B7" s="62">
        <v>0</v>
      </c>
      <c r="C7" s="62">
        <v>0</v>
      </c>
      <c r="D7" s="62">
        <v>80.115</v>
      </c>
      <c r="E7" s="62">
        <v>2804.025</v>
      </c>
      <c r="F7" s="62">
        <f>211.341+59.966</f>
        <v>271.307</v>
      </c>
      <c r="G7" s="62">
        <f>2853.103+899.49</f>
        <v>3752.593</v>
      </c>
      <c r="H7" s="62">
        <v>2.964</v>
      </c>
      <c r="I7" s="62">
        <v>62.244</v>
      </c>
      <c r="J7" s="62">
        <v>10.803</v>
      </c>
      <c r="K7" s="62">
        <v>162.045</v>
      </c>
      <c r="L7" s="62">
        <v>0</v>
      </c>
      <c r="M7" s="62">
        <v>0</v>
      </c>
      <c r="N7" s="62">
        <v>497.701</v>
      </c>
      <c r="O7" s="62">
        <v>2522</v>
      </c>
      <c r="P7" s="62">
        <v>19.765</v>
      </c>
      <c r="Q7" s="62">
        <v>1581.2</v>
      </c>
      <c r="R7" s="62">
        <v>0</v>
      </c>
      <c r="S7" s="62">
        <v>0</v>
      </c>
      <c r="T7" s="62">
        <v>6.47</v>
      </c>
      <c r="U7" s="62">
        <v>64.7</v>
      </c>
      <c r="V7" s="62">
        <v>20.593</v>
      </c>
      <c r="W7" s="62">
        <v>205.93</v>
      </c>
      <c r="X7" s="62">
        <f>23.766+2.429</f>
        <v>26.194999999999997</v>
      </c>
      <c r="Y7" s="62">
        <f>14.574+237.66</f>
        <v>252.234</v>
      </c>
      <c r="Z7" s="162">
        <f t="shared" si="0"/>
        <v>935.9130000000001</v>
      </c>
      <c r="AA7" s="162">
        <f t="shared" si="0"/>
        <v>11406.971000000001</v>
      </c>
      <c r="AB7" s="217"/>
    </row>
    <row r="8" spans="1:28" ht="11.25">
      <c r="A8" s="162" t="s">
        <v>18</v>
      </c>
      <c r="B8" s="62">
        <v>10.8</v>
      </c>
      <c r="C8" s="62">
        <v>9.8</v>
      </c>
      <c r="D8" s="62">
        <v>5.3</v>
      </c>
      <c r="E8" s="62">
        <v>15.3</v>
      </c>
      <c r="F8" s="62">
        <v>25</v>
      </c>
      <c r="G8" s="62">
        <v>28.4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>
        <v>9.3</v>
      </c>
      <c r="S8" s="62">
        <v>37.8</v>
      </c>
      <c r="T8" s="62"/>
      <c r="U8" s="62"/>
      <c r="V8" s="62"/>
      <c r="W8" s="62"/>
      <c r="X8" s="62">
        <v>7.2</v>
      </c>
      <c r="Y8" s="62">
        <v>16.7</v>
      </c>
      <c r="Z8" s="162">
        <f t="shared" si="0"/>
        <v>57.60000000000001</v>
      </c>
      <c r="AA8" s="162">
        <f t="shared" si="0"/>
        <v>108</v>
      </c>
      <c r="AB8" s="217"/>
    </row>
    <row r="9" spans="1:28" ht="11.25">
      <c r="A9" s="162" t="s">
        <v>19</v>
      </c>
      <c r="B9" s="62">
        <v>0</v>
      </c>
      <c r="C9" s="62">
        <v>0</v>
      </c>
      <c r="D9" s="62">
        <v>47.9</v>
      </c>
      <c r="E9" s="62">
        <v>852.62</v>
      </c>
      <c r="F9" s="62">
        <f>8.498+10.78</f>
        <v>19.278</v>
      </c>
      <c r="G9" s="62">
        <f>93.392+98.098</f>
        <v>191.49</v>
      </c>
      <c r="H9" s="62">
        <v>0</v>
      </c>
      <c r="I9" s="62">
        <v>0</v>
      </c>
      <c r="J9" s="62">
        <v>4.441</v>
      </c>
      <c r="K9" s="62">
        <v>79.801</v>
      </c>
      <c r="L9" s="62">
        <v>4.845</v>
      </c>
      <c r="M9" s="62">
        <v>34.884</v>
      </c>
      <c r="N9" s="62">
        <v>4.783</v>
      </c>
      <c r="O9" s="62">
        <v>42.466</v>
      </c>
      <c r="P9" s="62">
        <v>7.1</v>
      </c>
      <c r="Q9" s="62">
        <v>128.51</v>
      </c>
      <c r="R9" s="62">
        <v>12.86</v>
      </c>
      <c r="S9" s="62">
        <v>225.05</v>
      </c>
      <c r="T9" s="62">
        <v>0</v>
      </c>
      <c r="U9" s="62">
        <v>0</v>
      </c>
      <c r="V9" s="62">
        <v>0</v>
      </c>
      <c r="W9" s="62">
        <v>0</v>
      </c>
      <c r="X9" s="62">
        <v>3.99</v>
      </c>
      <c r="Y9" s="62">
        <v>19.95</v>
      </c>
      <c r="Z9" s="162">
        <f t="shared" si="0"/>
        <v>105.19699999999999</v>
      </c>
      <c r="AA9" s="162">
        <f t="shared" si="0"/>
        <v>1574.771</v>
      </c>
      <c r="AB9" s="217"/>
    </row>
    <row r="10" spans="1:28" ht="11.25">
      <c r="A10" s="162" t="s">
        <v>20</v>
      </c>
      <c r="B10" s="62">
        <v>0</v>
      </c>
      <c r="C10" s="62">
        <v>0</v>
      </c>
      <c r="D10" s="62">
        <v>31.274</v>
      </c>
      <c r="E10" s="62">
        <v>1373.554</v>
      </c>
      <c r="F10" s="62">
        <v>17.741</v>
      </c>
      <c r="G10" s="62">
        <v>128.09</v>
      </c>
      <c r="H10" s="62"/>
      <c r="I10" s="62"/>
      <c r="J10" s="62">
        <v>29.085</v>
      </c>
      <c r="K10" s="62">
        <v>229.19</v>
      </c>
      <c r="L10" s="62">
        <v>30.466</v>
      </c>
      <c r="M10" s="62">
        <v>216.918</v>
      </c>
      <c r="N10" s="62">
        <v>144.074</v>
      </c>
      <c r="O10" s="62">
        <v>1329.803</v>
      </c>
      <c r="P10" s="62">
        <v>1.429</v>
      </c>
      <c r="Q10" s="62">
        <v>33.61</v>
      </c>
      <c r="R10" s="62">
        <v>4.693</v>
      </c>
      <c r="S10" s="62">
        <v>119.484</v>
      </c>
      <c r="T10" s="62">
        <v>0</v>
      </c>
      <c r="U10" s="62">
        <v>0</v>
      </c>
      <c r="V10" s="62">
        <v>0</v>
      </c>
      <c r="W10" s="62">
        <v>0</v>
      </c>
      <c r="X10" s="62">
        <f>30.562+1.383</f>
        <v>31.945</v>
      </c>
      <c r="Y10" s="62">
        <f>279.337+12.834</f>
        <v>292.171</v>
      </c>
      <c r="Z10" s="162">
        <f t="shared" si="0"/>
        <v>290.707</v>
      </c>
      <c r="AA10" s="162">
        <f t="shared" si="0"/>
        <v>3722.82</v>
      </c>
      <c r="AB10" s="217"/>
    </row>
    <row r="11" spans="1:28" s="165" customFormat="1" ht="11.25">
      <c r="A11" s="219" t="s">
        <v>21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0.2</v>
      </c>
      <c r="H11" s="167">
        <v>0</v>
      </c>
      <c r="I11" s="167">
        <v>0</v>
      </c>
      <c r="J11" s="167">
        <v>0</v>
      </c>
      <c r="K11" s="167">
        <v>0.3</v>
      </c>
      <c r="L11" s="167">
        <v>0</v>
      </c>
      <c r="M11" s="167">
        <v>0.1</v>
      </c>
      <c r="N11" s="167">
        <v>0</v>
      </c>
      <c r="O11" s="167">
        <v>0.4</v>
      </c>
      <c r="P11" s="167">
        <v>0</v>
      </c>
      <c r="Q11" s="167">
        <v>0</v>
      </c>
      <c r="R11" s="167">
        <v>0</v>
      </c>
      <c r="S11" s="167">
        <v>0</v>
      </c>
      <c r="T11" s="167"/>
      <c r="U11" s="167"/>
      <c r="V11" s="167">
        <v>0</v>
      </c>
      <c r="W11" s="167">
        <v>0</v>
      </c>
      <c r="X11" s="167">
        <v>0.1</v>
      </c>
      <c r="Y11" s="167">
        <v>0.1</v>
      </c>
      <c r="Z11" s="162">
        <f t="shared" si="0"/>
        <v>0.1</v>
      </c>
      <c r="AA11" s="162">
        <f t="shared" si="0"/>
        <v>1.1</v>
      </c>
      <c r="AB11" s="217"/>
    </row>
    <row r="12" spans="1:28" ht="11.25">
      <c r="A12" s="162" t="s">
        <v>22</v>
      </c>
      <c r="B12" s="62">
        <v>0</v>
      </c>
      <c r="C12" s="62">
        <v>0</v>
      </c>
      <c r="D12" s="62">
        <v>9.292</v>
      </c>
      <c r="E12" s="62">
        <v>246.33</v>
      </c>
      <c r="F12" s="62">
        <f>7.245+0.032+0.111</f>
        <v>7.388</v>
      </c>
      <c r="G12" s="62">
        <f>43.596+0.257+0.74</f>
        <v>44.592999999999996</v>
      </c>
      <c r="H12" s="62">
        <v>0.011</v>
      </c>
      <c r="I12" s="62">
        <v>0.077</v>
      </c>
      <c r="J12" s="62">
        <v>10.814</v>
      </c>
      <c r="K12" s="62">
        <v>85.863</v>
      </c>
      <c r="L12" s="62">
        <v>1.782</v>
      </c>
      <c r="M12" s="62">
        <v>0.926</v>
      </c>
      <c r="N12" s="62">
        <v>37.288</v>
      </c>
      <c r="O12" s="62">
        <v>121.931</v>
      </c>
      <c r="P12" s="62">
        <v>8.063</v>
      </c>
      <c r="Q12" s="62">
        <v>148.117</v>
      </c>
      <c r="R12" s="62">
        <v>0</v>
      </c>
      <c r="S12" s="62">
        <v>0</v>
      </c>
      <c r="T12" s="62">
        <v>0.053</v>
      </c>
      <c r="U12" s="62">
        <v>0.265</v>
      </c>
      <c r="V12" s="62">
        <v>0.202</v>
      </c>
      <c r="W12" s="62">
        <v>0.648</v>
      </c>
      <c r="X12" s="62">
        <f>5.408+3.635+0.555+0.457+4.272+1.934+20.548</f>
        <v>36.809</v>
      </c>
      <c r="Y12" s="62">
        <f>94.64+10.795+5.805+4.03+79.16+30.015+92.466</f>
        <v>316.911</v>
      </c>
      <c r="Z12" s="162">
        <f t="shared" si="0"/>
        <v>111.70199999999998</v>
      </c>
      <c r="AA12" s="162">
        <f t="shared" si="0"/>
        <v>965.6610000000001</v>
      </c>
      <c r="AB12" s="217"/>
    </row>
    <row r="13" spans="1:28" ht="11.25">
      <c r="A13" s="219" t="s">
        <v>23</v>
      </c>
      <c r="B13" s="167">
        <v>0</v>
      </c>
      <c r="C13" s="167">
        <v>0</v>
      </c>
      <c r="D13" s="167">
        <v>0.04</v>
      </c>
      <c r="E13" s="167">
        <v>1.2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1.2</v>
      </c>
      <c r="O13" s="167">
        <v>12.5</v>
      </c>
      <c r="P13" s="167">
        <v>0</v>
      </c>
      <c r="Q13" s="167">
        <v>0</v>
      </c>
      <c r="R13" s="167">
        <v>0</v>
      </c>
      <c r="S13" s="167">
        <v>0</v>
      </c>
      <c r="T13" s="167"/>
      <c r="U13" s="167"/>
      <c r="V13" s="167">
        <v>0</v>
      </c>
      <c r="W13" s="167">
        <v>0</v>
      </c>
      <c r="X13" s="167">
        <v>0.6</v>
      </c>
      <c r="Y13" s="167">
        <v>6</v>
      </c>
      <c r="Z13" s="162">
        <f t="shared" si="0"/>
        <v>1.8399999999999999</v>
      </c>
      <c r="AA13" s="162">
        <f t="shared" si="0"/>
        <v>19.7</v>
      </c>
      <c r="AB13" s="217"/>
    </row>
    <row r="14" spans="1:28" ht="11.25">
      <c r="A14" s="219" t="s">
        <v>24</v>
      </c>
      <c r="B14" s="167"/>
      <c r="C14" s="167"/>
      <c r="D14" s="167">
        <v>0.001</v>
      </c>
      <c r="E14" s="167">
        <v>0.015</v>
      </c>
      <c r="F14" s="167"/>
      <c r="G14" s="167"/>
      <c r="H14" s="167"/>
      <c r="I14" s="167"/>
      <c r="J14" s="167">
        <v>0.003</v>
      </c>
      <c r="K14" s="167">
        <v>0.001</v>
      </c>
      <c r="L14" s="167"/>
      <c r="M14" s="167"/>
      <c r="N14" s="167">
        <v>0.001</v>
      </c>
      <c r="O14" s="167">
        <v>0.001</v>
      </c>
      <c r="P14" s="167">
        <v>0.001</v>
      </c>
      <c r="Q14" s="167">
        <v>0.001</v>
      </c>
      <c r="R14" s="167"/>
      <c r="S14" s="167"/>
      <c r="T14" s="167"/>
      <c r="U14" s="167"/>
      <c r="V14" s="167">
        <v>0.009</v>
      </c>
      <c r="W14" s="167">
        <v>0.004</v>
      </c>
      <c r="X14" s="167">
        <v>0.002</v>
      </c>
      <c r="Y14" s="167">
        <v>0.001</v>
      </c>
      <c r="Z14" s="162">
        <f t="shared" si="0"/>
        <v>0.017</v>
      </c>
      <c r="AA14" s="162">
        <f t="shared" si="0"/>
        <v>0.023000000000000003</v>
      </c>
      <c r="AB14" s="217"/>
    </row>
    <row r="15" spans="1:28" ht="11.25">
      <c r="A15" s="162" t="s">
        <v>25</v>
      </c>
      <c r="B15" s="62">
        <v>0</v>
      </c>
      <c r="C15" s="62">
        <v>0</v>
      </c>
      <c r="D15" s="62">
        <v>0</v>
      </c>
      <c r="E15" s="62">
        <v>0</v>
      </c>
      <c r="F15" s="62">
        <v>0.018</v>
      </c>
      <c r="G15" s="62">
        <v>0.27</v>
      </c>
      <c r="H15" s="62">
        <v>0</v>
      </c>
      <c r="I15" s="62">
        <v>0</v>
      </c>
      <c r="J15" s="62">
        <v>0.022</v>
      </c>
      <c r="K15" s="62">
        <v>0.432</v>
      </c>
      <c r="L15" s="62">
        <v>0</v>
      </c>
      <c r="M15" s="62">
        <v>0</v>
      </c>
      <c r="N15" s="62">
        <v>0</v>
      </c>
      <c r="O15" s="62"/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0.015</v>
      </c>
      <c r="Y15" s="62">
        <v>0.285</v>
      </c>
      <c r="Z15" s="162">
        <f t="shared" si="0"/>
        <v>0.05499999999999999</v>
      </c>
      <c r="AA15" s="162">
        <f t="shared" si="0"/>
        <v>0.9869999999999999</v>
      </c>
      <c r="AB15" s="217"/>
    </row>
    <row r="16" spans="1:28" ht="11.25">
      <c r="A16" s="162" t="s">
        <v>26</v>
      </c>
      <c r="B16" s="62"/>
      <c r="C16" s="62"/>
      <c r="D16" s="62">
        <v>2.68</v>
      </c>
      <c r="E16" s="62">
        <v>27.32</v>
      </c>
      <c r="F16" s="62"/>
      <c r="G16" s="62"/>
      <c r="H16" s="62"/>
      <c r="I16" s="62"/>
      <c r="J16" s="62"/>
      <c r="K16" s="62"/>
      <c r="L16" s="62"/>
      <c r="M16" s="62"/>
      <c r="N16" s="62">
        <v>5.02</v>
      </c>
      <c r="O16" s="62">
        <v>13.73</v>
      </c>
      <c r="P16" s="62"/>
      <c r="Q16" s="62"/>
      <c r="R16" s="62">
        <v>0.37</v>
      </c>
      <c r="S16" s="62">
        <v>5.6</v>
      </c>
      <c r="T16" s="62"/>
      <c r="U16" s="62"/>
      <c r="V16" s="62"/>
      <c r="W16" s="62"/>
      <c r="X16" s="62">
        <v>3.87</v>
      </c>
      <c r="Y16" s="62">
        <v>41.46</v>
      </c>
      <c r="Z16" s="162">
        <f t="shared" si="0"/>
        <v>11.939999999999998</v>
      </c>
      <c r="AA16" s="162">
        <f t="shared" si="0"/>
        <v>88.11</v>
      </c>
      <c r="AB16" s="217"/>
    </row>
    <row r="17" spans="1:28" ht="11.25">
      <c r="A17" s="162" t="s">
        <v>27</v>
      </c>
      <c r="B17" s="62">
        <v>0</v>
      </c>
      <c r="C17" s="62">
        <v>0</v>
      </c>
      <c r="D17" s="62">
        <v>60.863</v>
      </c>
      <c r="E17" s="62">
        <v>3571.599</v>
      </c>
      <c r="F17" s="62">
        <v>35.344</v>
      </c>
      <c r="G17" s="62">
        <v>350.498</v>
      </c>
      <c r="H17" s="62">
        <v>0</v>
      </c>
      <c r="I17" s="62">
        <v>0</v>
      </c>
      <c r="J17" s="62">
        <v>9.336</v>
      </c>
      <c r="K17" s="62">
        <v>144.212</v>
      </c>
      <c r="L17" s="62">
        <v>0</v>
      </c>
      <c r="M17" s="62">
        <v>0</v>
      </c>
      <c r="N17" s="62">
        <v>115.69</v>
      </c>
      <c r="O17" s="62">
        <v>299.817</v>
      </c>
      <c r="P17" s="62">
        <v>14.13</v>
      </c>
      <c r="Q17" s="62">
        <v>721.695</v>
      </c>
      <c r="R17" s="62">
        <v>0</v>
      </c>
      <c r="S17" s="62">
        <v>0</v>
      </c>
      <c r="T17" s="62">
        <v>4.016</v>
      </c>
      <c r="U17" s="62">
        <v>39.308</v>
      </c>
      <c r="V17" s="62">
        <v>26.676</v>
      </c>
      <c r="W17" s="62">
        <v>255.394</v>
      </c>
      <c r="X17" s="62">
        <f>11.852+15.449+5.081+12.816+5.511</f>
        <v>50.70900000000001</v>
      </c>
      <c r="Y17" s="62">
        <f>120.305+107.952+50.606+123.988+36.906</f>
        <v>439.757</v>
      </c>
      <c r="Z17" s="162">
        <f t="shared" si="0"/>
        <v>316.764</v>
      </c>
      <c r="AA17" s="162">
        <f t="shared" si="0"/>
        <v>5822.28</v>
      </c>
      <c r="AB17" s="217"/>
    </row>
    <row r="18" spans="1:28" ht="11.25">
      <c r="A18" s="162" t="s">
        <v>28</v>
      </c>
      <c r="B18" s="62">
        <v>0</v>
      </c>
      <c r="C18" s="62">
        <v>0</v>
      </c>
      <c r="D18" s="62">
        <v>0</v>
      </c>
      <c r="E18" s="62">
        <v>0</v>
      </c>
      <c r="F18" s="62">
        <v>11.223</v>
      </c>
      <c r="G18" s="62">
        <v>63.164</v>
      </c>
      <c r="H18" s="62">
        <v>0.073</v>
      </c>
      <c r="I18" s="62">
        <v>1.72</v>
      </c>
      <c r="J18" s="62">
        <v>6.973</v>
      </c>
      <c r="K18" s="62">
        <v>48.209</v>
      </c>
      <c r="L18" s="62">
        <v>0.243</v>
      </c>
      <c r="M18" s="62">
        <v>0.479</v>
      </c>
      <c r="N18" s="62">
        <v>8.87</v>
      </c>
      <c r="O18" s="62">
        <v>64.268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0.894</v>
      </c>
      <c r="W18" s="62">
        <v>4.825</v>
      </c>
      <c r="X18" s="62">
        <f>3.536+2.199+2.945+0.657</f>
        <v>9.337</v>
      </c>
      <c r="Y18" s="62">
        <f>38.54+11.017+26.282+5.396</f>
        <v>81.235</v>
      </c>
      <c r="Z18" s="162">
        <f t="shared" si="0"/>
        <v>37.613</v>
      </c>
      <c r="AA18" s="162">
        <f t="shared" si="0"/>
        <v>263.9</v>
      </c>
      <c r="AB18" s="217"/>
    </row>
    <row r="19" spans="1:28" ht="11.25">
      <c r="A19" s="162" t="s">
        <v>29</v>
      </c>
      <c r="B19" s="62">
        <v>97.209</v>
      </c>
      <c r="C19" s="62">
        <v>510.161</v>
      </c>
      <c r="D19" s="62">
        <v>0.117</v>
      </c>
      <c r="E19" s="62">
        <v>0.308</v>
      </c>
      <c r="F19" s="62">
        <f>8.446+1.204+9.622+2.316+0.055</f>
        <v>21.642999999999997</v>
      </c>
      <c r="G19" s="62">
        <f>15.63+1.902+4.839+3.613+0.293</f>
        <v>26.277</v>
      </c>
      <c r="H19" s="62">
        <v>0.14</v>
      </c>
      <c r="I19" s="62">
        <v>0.119</v>
      </c>
      <c r="J19" s="62">
        <v>2.24</v>
      </c>
      <c r="K19" s="62">
        <v>2.426</v>
      </c>
      <c r="L19" s="62">
        <v>4.064</v>
      </c>
      <c r="M19" s="62">
        <v>3.363</v>
      </c>
      <c r="N19" s="62">
        <v>38.445</v>
      </c>
      <c r="O19" s="62">
        <v>38.751</v>
      </c>
      <c r="P19" s="62">
        <v>0.23</v>
      </c>
      <c r="Q19" s="62">
        <v>0.686</v>
      </c>
      <c r="R19" s="62">
        <v>0</v>
      </c>
      <c r="S19" s="62">
        <v>0</v>
      </c>
      <c r="T19" s="62">
        <v>1.09</v>
      </c>
      <c r="U19" s="62">
        <v>0.311</v>
      </c>
      <c r="V19" s="62">
        <v>0.057</v>
      </c>
      <c r="W19" s="62">
        <v>0.008</v>
      </c>
      <c r="X19" s="62">
        <f>8.413+5.162+3.392+7.391+0.396+0.123+0.051+0.407+0.056+1.713+0.525+0.069+0.012+0.032+0.015+0.277+0.002</f>
        <v>28.035999999999998</v>
      </c>
      <c r="Y19" s="62">
        <f>9.591+9.935+3.224+15.45+0.453+0.118+0.009+0.224+0.435+2.017+0.222+0.06+0.003+0.015+0.004+0.382+0.106</f>
        <v>42.24800000000001</v>
      </c>
      <c r="Z19" s="162">
        <f t="shared" si="0"/>
        <v>193.271</v>
      </c>
      <c r="AA19" s="162">
        <f t="shared" si="0"/>
        <v>624.6580000000002</v>
      </c>
      <c r="AB19" s="217"/>
    </row>
    <row r="20" spans="1:28" ht="11.25">
      <c r="A20" s="219" t="s">
        <v>30</v>
      </c>
      <c r="B20" s="167">
        <f>120.542+13.176</f>
        <v>133.718</v>
      </c>
      <c r="C20" s="167">
        <f>1315.2+17.612</f>
        <v>1332.8120000000001</v>
      </c>
      <c r="D20" s="167">
        <v>0</v>
      </c>
      <c r="E20" s="167">
        <v>0</v>
      </c>
      <c r="F20" s="167">
        <f>12.708+0.046</f>
        <v>12.754</v>
      </c>
      <c r="G20" s="167">
        <f>18.772+0.006</f>
        <v>18.778</v>
      </c>
      <c r="H20" s="167">
        <f>0.147+0.152</f>
        <v>0.299</v>
      </c>
      <c r="I20" s="167">
        <f>0.204+0.347</f>
        <v>0.5509999999999999</v>
      </c>
      <c r="J20" s="167">
        <v>0</v>
      </c>
      <c r="K20" s="167">
        <v>0</v>
      </c>
      <c r="L20" s="167">
        <v>0</v>
      </c>
      <c r="M20" s="167">
        <v>0</v>
      </c>
      <c r="N20" s="167">
        <v>10.704</v>
      </c>
      <c r="O20" s="167">
        <v>49.796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f>(6.821+1.995+1.709+2.122+0.022+7.815+0.415+10.261)+(5.688+3.002+0.585+1.891+3.272+0.072+1.938)</f>
        <v>47.60799999999999</v>
      </c>
      <c r="Y20" s="167">
        <f>(15.773+1.045+1.757+2.219+0.0075+16.333+0.012+19.618)+(31.619+12.664+2.643+5.921+18.568+0.001+8.01)</f>
        <v>136.19050000000001</v>
      </c>
      <c r="Z20" s="162">
        <f t="shared" si="0"/>
        <v>205.08299999999997</v>
      </c>
      <c r="AA20" s="162">
        <f t="shared" si="0"/>
        <v>1538.1275</v>
      </c>
      <c r="AB20" s="217"/>
    </row>
    <row r="21" spans="1:28" ht="11.25">
      <c r="A21" s="162" t="s">
        <v>31</v>
      </c>
      <c r="B21" s="62"/>
      <c r="C21" s="62"/>
      <c r="D21" s="62">
        <v>2.747</v>
      </c>
      <c r="E21" s="62">
        <v>54.951</v>
      </c>
      <c r="F21" s="62">
        <v>11.186</v>
      </c>
      <c r="G21" s="62">
        <v>53.26</v>
      </c>
      <c r="H21" s="62"/>
      <c r="I21" s="62"/>
      <c r="J21" s="62">
        <v>5.089</v>
      </c>
      <c r="K21" s="62">
        <v>57.005</v>
      </c>
      <c r="L21" s="62">
        <v>4.256</v>
      </c>
      <c r="M21" s="62">
        <v>20.282</v>
      </c>
      <c r="N21" s="62">
        <v>31.848</v>
      </c>
      <c r="O21" s="62">
        <v>91.524</v>
      </c>
      <c r="P21" s="62">
        <v>4.855</v>
      </c>
      <c r="Q21" s="62">
        <v>4.995</v>
      </c>
      <c r="R21" s="62"/>
      <c r="S21" s="62"/>
      <c r="T21" s="62"/>
      <c r="U21" s="62"/>
      <c r="V21" s="62"/>
      <c r="W21" s="62"/>
      <c r="X21" s="62">
        <v>12</v>
      </c>
      <c r="Y21" s="62">
        <v>113.9</v>
      </c>
      <c r="Z21" s="162">
        <f t="shared" si="0"/>
        <v>71.981</v>
      </c>
      <c r="AA21" s="162">
        <f t="shared" si="0"/>
        <v>395.91700000000003</v>
      </c>
      <c r="AB21" s="217"/>
    </row>
    <row r="22" spans="1:28" ht="11.25">
      <c r="A22" s="162" t="s">
        <v>32</v>
      </c>
      <c r="B22" s="62"/>
      <c r="C22" s="62"/>
      <c r="D22" s="62">
        <v>75.406</v>
      </c>
      <c r="E22" s="62">
        <v>1918.814</v>
      </c>
      <c r="F22" s="62">
        <f>8.567+1.844+3.487+0.255</f>
        <v>14.153</v>
      </c>
      <c r="G22" s="62">
        <f>201.714+36.546+68.012+3.483</f>
        <v>309.755</v>
      </c>
      <c r="H22" s="62">
        <v>14.905</v>
      </c>
      <c r="I22" s="62">
        <v>268.961</v>
      </c>
      <c r="J22" s="62">
        <v>7.008</v>
      </c>
      <c r="K22" s="62">
        <v>137.479</v>
      </c>
      <c r="L22" s="62"/>
      <c r="M22" s="62"/>
      <c r="N22" s="62">
        <v>141.295</v>
      </c>
      <c r="O22" s="62">
        <v>1284.421</v>
      </c>
      <c r="P22" s="62">
        <v>5.475</v>
      </c>
      <c r="Q22" s="62">
        <v>409.016</v>
      </c>
      <c r="R22" s="62">
        <v>3.021</v>
      </c>
      <c r="S22" s="62">
        <v>186.302</v>
      </c>
      <c r="T22" s="62">
        <v>14.274</v>
      </c>
      <c r="U22" s="62">
        <v>138.132</v>
      </c>
      <c r="V22" s="62">
        <v>27.509</v>
      </c>
      <c r="W22" s="62">
        <v>297.769</v>
      </c>
      <c r="X22" s="62">
        <f>6.351+0.412+1.97+2.201+1.43</f>
        <v>12.364</v>
      </c>
      <c r="Y22" s="62">
        <f>251.741+13.208+15.284+25.231+13.66</f>
        <v>319.124</v>
      </c>
      <c r="Z22" s="162">
        <f t="shared" si="0"/>
        <v>315.41</v>
      </c>
      <c r="AA22" s="162">
        <f t="shared" si="0"/>
        <v>5269.772999999998</v>
      </c>
      <c r="AB22" s="217"/>
    </row>
    <row r="23" spans="1:28" ht="11.25">
      <c r="A23" s="162" t="s">
        <v>33</v>
      </c>
      <c r="B23" s="158">
        <v>0</v>
      </c>
      <c r="C23" s="62">
        <v>0</v>
      </c>
      <c r="D23" s="62">
        <v>59.762</v>
      </c>
      <c r="E23" s="158">
        <v>472.931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76.7</v>
      </c>
      <c r="O23" s="62">
        <v>445.4</v>
      </c>
      <c r="P23" s="62">
        <v>17.723</v>
      </c>
      <c r="Q23" s="62">
        <v>80.661</v>
      </c>
      <c r="R23" s="62">
        <v>12.5</v>
      </c>
      <c r="S23" s="62">
        <v>102.4</v>
      </c>
      <c r="T23" s="62">
        <v>0</v>
      </c>
      <c r="U23" s="62">
        <v>0</v>
      </c>
      <c r="V23" s="62">
        <v>0</v>
      </c>
      <c r="W23" s="62">
        <v>0</v>
      </c>
      <c r="X23" s="53">
        <v>154.1</v>
      </c>
      <c r="Y23" s="53">
        <v>1457.5</v>
      </c>
      <c r="Z23" s="162">
        <f t="shared" si="0"/>
        <v>320.78499999999997</v>
      </c>
      <c r="AA23" s="162">
        <f t="shared" si="0"/>
        <v>2558.892</v>
      </c>
      <c r="AB23" s="217"/>
    </row>
    <row r="24" spans="1:28" ht="11.25">
      <c r="A24" s="219" t="s">
        <v>34</v>
      </c>
      <c r="B24" s="167">
        <v>0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/>
      <c r="U24" s="167"/>
      <c r="V24" s="167">
        <v>0</v>
      </c>
      <c r="W24" s="167">
        <v>0</v>
      </c>
      <c r="X24" s="167">
        <v>0.35</v>
      </c>
      <c r="Y24" s="167">
        <v>1.24</v>
      </c>
      <c r="Z24" s="162">
        <f t="shared" si="0"/>
        <v>0.35</v>
      </c>
      <c r="AA24" s="162">
        <f t="shared" si="0"/>
        <v>1.24</v>
      </c>
      <c r="AB24" s="217"/>
    </row>
    <row r="25" spans="1:28" ht="11.25">
      <c r="A25" s="162" t="s">
        <v>35</v>
      </c>
      <c r="B25" s="62"/>
      <c r="C25" s="62"/>
      <c r="D25" s="62">
        <f>14.133+14.711</f>
        <v>28.844</v>
      </c>
      <c r="E25" s="62">
        <f>909.6+588.44</f>
        <v>1498.04</v>
      </c>
      <c r="F25" s="62">
        <f>31.474+2.124+0.426</f>
        <v>34.024</v>
      </c>
      <c r="G25" s="62">
        <f>503.584+33.984+6.816</f>
        <v>544.384</v>
      </c>
      <c r="H25" s="62">
        <v>0.26</v>
      </c>
      <c r="I25" s="62">
        <v>6.5</v>
      </c>
      <c r="J25" s="62">
        <v>4.751</v>
      </c>
      <c r="K25" s="62">
        <v>95.02</v>
      </c>
      <c r="L25" s="62"/>
      <c r="M25" s="62"/>
      <c r="N25" s="62">
        <v>12.432</v>
      </c>
      <c r="O25" s="62">
        <v>111.888</v>
      </c>
      <c r="P25" s="62">
        <f>0.963+0.627</f>
        <v>1.5899999999999999</v>
      </c>
      <c r="Q25" s="62">
        <f>36.912+16.929</f>
        <v>53.840999999999994</v>
      </c>
      <c r="R25" s="62"/>
      <c r="S25" s="62"/>
      <c r="T25" s="62"/>
      <c r="U25" s="62"/>
      <c r="V25" s="62"/>
      <c r="W25" s="62"/>
      <c r="X25" s="62">
        <v>10.477</v>
      </c>
      <c r="Y25" s="62">
        <v>62.862</v>
      </c>
      <c r="Z25" s="162">
        <f t="shared" si="0"/>
        <v>92.37800000000001</v>
      </c>
      <c r="AA25" s="162">
        <f t="shared" si="0"/>
        <v>2372.535</v>
      </c>
      <c r="AB25" s="217"/>
    </row>
    <row r="26" spans="1:28" ht="11.25">
      <c r="A26" s="162" t="s">
        <v>36</v>
      </c>
      <c r="B26" s="62"/>
      <c r="C26" s="62"/>
      <c r="D26" s="62">
        <v>80</v>
      </c>
      <c r="E26" s="62">
        <v>4960</v>
      </c>
      <c r="F26" s="62">
        <f>37.7+126+99</f>
        <v>262.7</v>
      </c>
      <c r="G26" s="62">
        <f>156+644+608</f>
        <v>1408</v>
      </c>
      <c r="H26" s="62">
        <v>55.7</v>
      </c>
      <c r="I26" s="62">
        <v>1415</v>
      </c>
      <c r="J26" s="62">
        <v>32.5</v>
      </c>
      <c r="K26" s="62">
        <v>257.25</v>
      </c>
      <c r="L26" s="62"/>
      <c r="M26" s="62"/>
      <c r="N26" s="62">
        <v>457</v>
      </c>
      <c r="O26" s="62">
        <v>712.8</v>
      </c>
      <c r="P26" s="62"/>
      <c r="Q26" s="62"/>
      <c r="R26" s="62"/>
      <c r="S26" s="62"/>
      <c r="T26" s="62">
        <v>82</v>
      </c>
      <c r="U26" s="62">
        <v>550</v>
      </c>
      <c r="V26" s="62">
        <v>65.4</v>
      </c>
      <c r="W26" s="62">
        <v>298.7</v>
      </c>
      <c r="X26" s="62">
        <f>397</f>
        <v>397</v>
      </c>
      <c r="Y26" s="62">
        <v>1323</v>
      </c>
      <c r="Z26" s="162">
        <f t="shared" si="0"/>
        <v>1432.3</v>
      </c>
      <c r="AA26" s="162">
        <f t="shared" si="0"/>
        <v>10924.75</v>
      </c>
      <c r="AB26" s="217"/>
    </row>
    <row r="27" spans="1:28" ht="11.25">
      <c r="A27" s="219" t="s">
        <v>37</v>
      </c>
      <c r="B27" s="167"/>
      <c r="C27" s="167"/>
      <c r="D27" s="167">
        <v>5.591</v>
      </c>
      <c r="E27" s="167">
        <v>71.687</v>
      </c>
      <c r="F27" s="167">
        <f>3.062+4.138</f>
        <v>7.199999999999999</v>
      </c>
      <c r="G27" s="167">
        <f>22.974+31.968</f>
        <v>54.942</v>
      </c>
      <c r="H27" s="167"/>
      <c r="I27" s="167"/>
      <c r="J27" s="167">
        <v>0</v>
      </c>
      <c r="K27" s="167">
        <v>0</v>
      </c>
      <c r="L27" s="167"/>
      <c r="M27" s="167"/>
      <c r="N27" s="167">
        <v>0</v>
      </c>
      <c r="O27" s="167">
        <v>0</v>
      </c>
      <c r="P27" s="220"/>
      <c r="Q27" s="220"/>
      <c r="R27" s="167">
        <v>8.607</v>
      </c>
      <c r="S27" s="167">
        <v>78.545</v>
      </c>
      <c r="T27" s="167">
        <v>0</v>
      </c>
      <c r="U27" s="167"/>
      <c r="V27" s="167"/>
      <c r="W27" s="167"/>
      <c r="X27" s="167">
        <f>8.473+12.532</f>
        <v>21.005000000000003</v>
      </c>
      <c r="Y27" s="167">
        <f>72.006+64.726</f>
        <v>136.732</v>
      </c>
      <c r="Z27" s="162">
        <f t="shared" si="0"/>
        <v>42.403000000000006</v>
      </c>
      <c r="AA27" s="162">
        <f t="shared" si="0"/>
        <v>341.90599999999995</v>
      </c>
      <c r="AB27" s="217"/>
    </row>
    <row r="28" spans="1:28" ht="11.25">
      <c r="A28" s="162" t="s">
        <v>38</v>
      </c>
      <c r="B28" s="53">
        <v>0</v>
      </c>
      <c r="C28" s="53">
        <v>0</v>
      </c>
      <c r="D28" s="53">
        <v>7.034</v>
      </c>
      <c r="E28" s="53">
        <v>82.825</v>
      </c>
      <c r="F28" s="53">
        <v>10.058</v>
      </c>
      <c r="G28" s="53">
        <v>43.099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0.681</v>
      </c>
      <c r="Q28" s="53">
        <v>5.557</v>
      </c>
      <c r="R28" s="53">
        <v>10.813</v>
      </c>
      <c r="S28" s="53">
        <v>106.8</v>
      </c>
      <c r="T28" s="53">
        <v>0</v>
      </c>
      <c r="U28" s="53">
        <v>0</v>
      </c>
      <c r="V28" s="53">
        <v>0</v>
      </c>
      <c r="W28" s="53">
        <v>0</v>
      </c>
      <c r="X28" s="53">
        <f>1.02+3.34</f>
        <v>4.359999999999999</v>
      </c>
      <c r="Y28" s="53">
        <f>9.578+46.95</f>
        <v>56.528000000000006</v>
      </c>
      <c r="Z28" s="162">
        <f t="shared" si="0"/>
        <v>32.946</v>
      </c>
      <c r="AA28" s="162">
        <f t="shared" si="0"/>
        <v>294.809</v>
      </c>
      <c r="AB28" s="217"/>
    </row>
    <row r="29" spans="1:28" ht="11.25">
      <c r="A29" s="219" t="s">
        <v>39</v>
      </c>
      <c r="B29" s="167">
        <v>0</v>
      </c>
      <c r="C29" s="167">
        <v>0</v>
      </c>
      <c r="D29" s="167">
        <f>7.22+1.435</f>
        <v>8.655</v>
      </c>
      <c r="E29" s="167">
        <v>66.424</v>
      </c>
      <c r="F29" s="167">
        <f>8.275+2.332</f>
        <v>10.607</v>
      </c>
      <c r="G29" s="167">
        <v>10.575</v>
      </c>
      <c r="H29" s="167">
        <f>1.172+0.06</f>
        <v>1.232</v>
      </c>
      <c r="I29" s="167">
        <v>9.962</v>
      </c>
      <c r="J29" s="167"/>
      <c r="K29" s="167"/>
      <c r="L29" s="167"/>
      <c r="M29" s="167"/>
      <c r="N29" s="167"/>
      <c r="O29" s="167"/>
      <c r="P29" s="167">
        <f>0.817+0.15</f>
        <v>0.967</v>
      </c>
      <c r="Q29" s="167">
        <v>4.494</v>
      </c>
      <c r="R29" s="167">
        <v>0.432</v>
      </c>
      <c r="S29" s="167">
        <v>2.39</v>
      </c>
      <c r="T29" s="167"/>
      <c r="U29" s="167"/>
      <c r="V29" s="167"/>
      <c r="W29" s="167"/>
      <c r="X29" s="167">
        <f>4.084+1.257+1.618+0.663+1.192+0.703+0.085+0.07+2.043+0.457</f>
        <v>12.172</v>
      </c>
      <c r="Y29" s="167">
        <f>13.53+3.236+2.662+0.603+9.193</f>
        <v>29.223999999999997</v>
      </c>
      <c r="Z29" s="162">
        <f t="shared" si="0"/>
        <v>34.065</v>
      </c>
      <c r="AA29" s="162">
        <f t="shared" si="0"/>
        <v>123.06900000000002</v>
      </c>
      <c r="AB29" s="217"/>
    </row>
    <row r="30" spans="1:28" s="65" customFormat="1" ht="11.25">
      <c r="A30" s="221" t="s">
        <v>40</v>
      </c>
      <c r="B30" s="73">
        <v>0.035</v>
      </c>
      <c r="C30" s="73">
        <v>0.05</v>
      </c>
      <c r="D30" s="73">
        <v>2.7</v>
      </c>
      <c r="E30" s="73">
        <v>59</v>
      </c>
      <c r="F30" s="73">
        <f>3.9+0.15+1.6</f>
        <v>5.65</v>
      </c>
      <c r="G30" s="73">
        <f>15+0.43+1.6</f>
        <v>17.03</v>
      </c>
      <c r="H30" s="73">
        <v>0.18</v>
      </c>
      <c r="I30" s="73">
        <v>0.1</v>
      </c>
      <c r="J30" s="73">
        <v>0.278</v>
      </c>
      <c r="K30" s="73">
        <v>1.4</v>
      </c>
      <c r="L30" s="73">
        <v>0.16</v>
      </c>
      <c r="M30" s="73">
        <v>0.17</v>
      </c>
      <c r="N30" s="73">
        <v>0.28</v>
      </c>
      <c r="O30" s="73">
        <v>0.4</v>
      </c>
      <c r="P30" s="73">
        <v>0.67</v>
      </c>
      <c r="Q30" s="73">
        <v>5.6</v>
      </c>
      <c r="R30" s="73">
        <v>3.7</v>
      </c>
      <c r="S30" s="73">
        <v>57.5</v>
      </c>
      <c r="T30" s="73">
        <v>0.08</v>
      </c>
      <c r="U30" s="73">
        <v>0.32</v>
      </c>
      <c r="V30" s="73"/>
      <c r="W30" s="73"/>
      <c r="X30" s="73">
        <f>0.155+0.183+0.2+0.145+0.09+3.1+0.55</f>
        <v>4.423</v>
      </c>
      <c r="Y30" s="73">
        <f>0.3+0.42+0.55+0.32+0.11+6+2</f>
        <v>9.7</v>
      </c>
      <c r="Z30" s="162">
        <f t="shared" si="0"/>
        <v>18.156000000000002</v>
      </c>
      <c r="AA30" s="162">
        <f t="shared" si="0"/>
        <v>151.26999999999998</v>
      </c>
      <c r="AB30" s="67"/>
    </row>
    <row r="31" spans="1:28" ht="11.25">
      <c r="A31" s="162" t="s">
        <v>41</v>
      </c>
      <c r="B31" s="62">
        <v>0</v>
      </c>
      <c r="C31" s="62">
        <v>0</v>
      </c>
      <c r="D31" s="62">
        <v>24.112</v>
      </c>
      <c r="E31" s="62">
        <v>327.08</v>
      </c>
      <c r="F31" s="62">
        <v>27.1</v>
      </c>
      <c r="G31" s="62">
        <v>223.01</v>
      </c>
      <c r="H31" s="62">
        <v>0</v>
      </c>
      <c r="I31" s="62">
        <v>0</v>
      </c>
      <c r="J31" s="62">
        <v>14.135</v>
      </c>
      <c r="K31" s="62">
        <v>95.04</v>
      </c>
      <c r="L31" s="62">
        <v>4.244</v>
      </c>
      <c r="M31" s="62">
        <v>12.99</v>
      </c>
      <c r="N31" s="62">
        <v>164.25</v>
      </c>
      <c r="O31" s="62">
        <v>449.71</v>
      </c>
      <c r="P31" s="62">
        <v>1.485</v>
      </c>
      <c r="Q31" s="62">
        <v>25.21</v>
      </c>
      <c r="R31" s="62">
        <v>0.713</v>
      </c>
      <c r="S31" s="62">
        <v>8</v>
      </c>
      <c r="T31" s="62">
        <v>0.2</v>
      </c>
      <c r="U31" s="62">
        <v>0.72</v>
      </c>
      <c r="V31" s="62">
        <v>3.282</v>
      </c>
      <c r="W31" s="62">
        <v>15.01</v>
      </c>
      <c r="X31" s="62">
        <v>46.245</v>
      </c>
      <c r="Y31" s="62">
        <v>376.07</v>
      </c>
      <c r="Z31" s="162">
        <f t="shared" si="0"/>
        <v>285.766</v>
      </c>
      <c r="AA31" s="162">
        <f t="shared" si="0"/>
        <v>1532.84</v>
      </c>
      <c r="AB31" s="217"/>
    </row>
    <row r="32" spans="1:28" s="65" customFormat="1" ht="11.25">
      <c r="A32" s="221" t="s">
        <v>42</v>
      </c>
      <c r="B32" s="73">
        <v>0</v>
      </c>
      <c r="C32" s="73">
        <v>0</v>
      </c>
      <c r="D32" s="73">
        <v>0.492</v>
      </c>
      <c r="E32" s="73">
        <v>17.125</v>
      </c>
      <c r="F32" s="73">
        <v>0.021</v>
      </c>
      <c r="G32" s="73">
        <v>0.167</v>
      </c>
      <c r="H32" s="73">
        <v>0</v>
      </c>
      <c r="I32" s="73">
        <v>0</v>
      </c>
      <c r="J32" s="73">
        <v>0.084</v>
      </c>
      <c r="K32" s="73">
        <v>2.565</v>
      </c>
      <c r="L32" s="73">
        <v>0</v>
      </c>
      <c r="M32" s="73">
        <v>0</v>
      </c>
      <c r="N32" s="73">
        <v>0.423</v>
      </c>
      <c r="O32" s="73">
        <v>6.835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0.092</v>
      </c>
      <c r="W32" s="73">
        <v>0.585</v>
      </c>
      <c r="X32" s="73">
        <f>0.027+0.11</f>
        <v>0.137</v>
      </c>
      <c r="Y32" s="73">
        <f>0.135+0.482</f>
        <v>0.617</v>
      </c>
      <c r="Z32" s="162">
        <f t="shared" si="0"/>
        <v>1.249</v>
      </c>
      <c r="AA32" s="162">
        <f t="shared" si="0"/>
        <v>27.894000000000005</v>
      </c>
      <c r="AB32" s="67"/>
    </row>
    <row r="33" spans="1:28" ht="11.25">
      <c r="A33" s="162" t="s">
        <v>43</v>
      </c>
      <c r="B33" s="62"/>
      <c r="C33" s="62"/>
      <c r="D33" s="62"/>
      <c r="E33" s="62"/>
      <c r="F33" s="62">
        <f>35.619+2.945+0.634</f>
        <v>39.198</v>
      </c>
      <c r="G33" s="62">
        <f>706.645+23.28+4.774</f>
        <v>734.699</v>
      </c>
      <c r="H33" s="62">
        <v>0.777</v>
      </c>
      <c r="I33" s="62">
        <v>22.088</v>
      </c>
      <c r="J33" s="62">
        <v>8.022</v>
      </c>
      <c r="K33" s="62">
        <v>160.463</v>
      </c>
      <c r="L33" s="62">
        <v>1.528</v>
      </c>
      <c r="M33" s="62">
        <v>21.262</v>
      </c>
      <c r="N33" s="62">
        <v>6.483</v>
      </c>
      <c r="O33" s="62">
        <v>88.96</v>
      </c>
      <c r="P33" s="62"/>
      <c r="Q33" s="62"/>
      <c r="R33" s="62"/>
      <c r="S33" s="62"/>
      <c r="T33" s="62"/>
      <c r="U33" s="62"/>
      <c r="V33" s="62"/>
      <c r="W33" s="62"/>
      <c r="X33" s="62">
        <f>2.707+1.476+0.159+2.5+0.217+1.732</f>
        <v>8.790999999999999</v>
      </c>
      <c r="Y33" s="62">
        <f>59.992+25.236+2.725+42.847+2.818+21.794</f>
        <v>155.412</v>
      </c>
      <c r="Z33" s="162">
        <f t="shared" si="0"/>
        <v>64.79899999999999</v>
      </c>
      <c r="AA33" s="162">
        <f t="shared" si="0"/>
        <v>1182.884</v>
      </c>
      <c r="AB33" s="217"/>
    </row>
    <row r="34" spans="1:28" ht="11.25">
      <c r="A34" s="162" t="s">
        <v>44</v>
      </c>
      <c r="B34" s="53">
        <v>0</v>
      </c>
      <c r="C34" s="53">
        <v>0</v>
      </c>
      <c r="D34" s="53">
        <v>0.035</v>
      </c>
      <c r="E34" s="53">
        <v>0.553</v>
      </c>
      <c r="F34" s="53">
        <f>2.78+8.287+0.367+5.522</f>
        <v>16.956000000000003</v>
      </c>
      <c r="G34" s="53">
        <f>20.852+157.458+6.969+121.467</f>
        <v>306.746</v>
      </c>
      <c r="H34" s="53">
        <v>0.001</v>
      </c>
      <c r="I34" s="53">
        <v>0.001</v>
      </c>
      <c r="J34" s="53">
        <v>2.046</v>
      </c>
      <c r="K34" s="53">
        <v>25.577</v>
      </c>
      <c r="L34" s="53">
        <v>0</v>
      </c>
      <c r="M34" s="53">
        <v>0</v>
      </c>
      <c r="N34" s="53">
        <v>5.993</v>
      </c>
      <c r="O34" s="53">
        <v>92.899</v>
      </c>
      <c r="P34" s="53">
        <v>0.448</v>
      </c>
      <c r="Q34" s="53">
        <v>7.385</v>
      </c>
      <c r="R34" s="53">
        <v>0</v>
      </c>
      <c r="S34" s="53">
        <v>0</v>
      </c>
      <c r="T34" s="53">
        <v>0.628</v>
      </c>
      <c r="U34" s="53">
        <v>3.453</v>
      </c>
      <c r="V34" s="53">
        <v>0.011</v>
      </c>
      <c r="W34" s="53">
        <v>0.032</v>
      </c>
      <c r="X34" s="53">
        <f>0.224+1.282+1.705+0.217+0.064+0.021+0.571+0.398</f>
        <v>4.482</v>
      </c>
      <c r="Y34" s="53">
        <f>4.254+12.182+21.316+2.171+0.223+0.164+5.71+1.992</f>
        <v>48.01199999999999</v>
      </c>
      <c r="Z34" s="162">
        <f t="shared" si="0"/>
        <v>30.600000000000005</v>
      </c>
      <c r="AA34" s="162">
        <f t="shared" si="0"/>
        <v>484.6579999999999</v>
      </c>
      <c r="AB34" s="217"/>
    </row>
    <row r="35" spans="1:28" ht="11.25">
      <c r="A35" s="162" t="s">
        <v>45</v>
      </c>
      <c r="B35" s="62"/>
      <c r="C35" s="62"/>
      <c r="D35" s="62"/>
      <c r="E35" s="62"/>
      <c r="F35" s="62">
        <v>6.298</v>
      </c>
      <c r="G35" s="62">
        <v>10.479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>
        <v>4.2</v>
      </c>
      <c r="Y35" s="62">
        <v>5.192</v>
      </c>
      <c r="Z35" s="162">
        <f t="shared" si="0"/>
        <v>10.498000000000001</v>
      </c>
      <c r="AA35" s="162">
        <f t="shared" si="0"/>
        <v>15.671</v>
      </c>
      <c r="AB35" s="217"/>
    </row>
    <row r="36" spans="1:28" ht="11.25">
      <c r="A36" s="219" t="s">
        <v>46</v>
      </c>
      <c r="B36" s="167">
        <v>0</v>
      </c>
      <c r="C36" s="167">
        <v>0</v>
      </c>
      <c r="D36" s="167">
        <v>124.422</v>
      </c>
      <c r="E36" s="167">
        <v>6667.037</v>
      </c>
      <c r="F36" s="167">
        <f>2.53+9.419+0.387+0.118</f>
        <v>12.454</v>
      </c>
      <c r="G36" s="167">
        <f>5.114+24.326+9.668+2.957</f>
        <v>42.065000000000005</v>
      </c>
      <c r="H36" s="167">
        <v>3.052</v>
      </c>
      <c r="I36" s="167">
        <v>91.008</v>
      </c>
      <c r="J36" s="167">
        <v>9.215</v>
      </c>
      <c r="K36" s="167">
        <v>101.651</v>
      </c>
      <c r="L36" s="167">
        <v>0.014</v>
      </c>
      <c r="M36" s="167">
        <v>0.114</v>
      </c>
      <c r="N36" s="167">
        <v>148.844</v>
      </c>
      <c r="O36" s="167">
        <v>821.414</v>
      </c>
      <c r="P36" s="167">
        <v>0.397</v>
      </c>
      <c r="Q36" s="167">
        <v>72.321</v>
      </c>
      <c r="R36" s="167">
        <v>0.75</v>
      </c>
      <c r="S36" s="167">
        <v>24.8</v>
      </c>
      <c r="T36" s="167">
        <v>0.399</v>
      </c>
      <c r="U36" s="167">
        <v>9.964</v>
      </c>
      <c r="V36" s="167">
        <v>7.358</v>
      </c>
      <c r="W36" s="167">
        <v>183.961</v>
      </c>
      <c r="X36" s="167">
        <f>3.452+1.274+0.491+6.15+0.365</f>
        <v>11.732000000000001</v>
      </c>
      <c r="Y36" s="167">
        <f>47.807+43.306+5.381+0.22+85.733+10.963</f>
        <v>193.41</v>
      </c>
      <c r="Z36" s="162">
        <f t="shared" si="0"/>
        <v>318.637</v>
      </c>
      <c r="AA36" s="162">
        <f t="shared" si="0"/>
        <v>8207.744999999999</v>
      </c>
      <c r="AB36" s="217"/>
    </row>
    <row r="37" spans="1:28" ht="11.25">
      <c r="A37" s="162" t="s">
        <v>47</v>
      </c>
      <c r="B37" s="62"/>
      <c r="C37" s="62"/>
      <c r="D37" s="62">
        <v>7.652</v>
      </c>
      <c r="E37" s="62">
        <v>76.229</v>
      </c>
      <c r="F37" s="62">
        <f>3.083+2.131</f>
        <v>5.214</v>
      </c>
      <c r="G37" s="62">
        <f>4.49+8.866</f>
        <v>13.356</v>
      </c>
      <c r="H37" s="62"/>
      <c r="I37" s="62"/>
      <c r="J37" s="62">
        <v>0.339</v>
      </c>
      <c r="K37" s="62">
        <v>1.135</v>
      </c>
      <c r="L37" s="62">
        <v>2.791</v>
      </c>
      <c r="M37" s="62">
        <v>14.351</v>
      </c>
      <c r="N37" s="62">
        <v>4.535</v>
      </c>
      <c r="O37" s="62">
        <v>15.922</v>
      </c>
      <c r="P37" s="62">
        <v>1.294</v>
      </c>
      <c r="Q37" s="62">
        <v>18.384</v>
      </c>
      <c r="R37" s="62">
        <v>6.279</v>
      </c>
      <c r="S37" s="62">
        <v>101.17</v>
      </c>
      <c r="T37" s="62"/>
      <c r="U37" s="62"/>
      <c r="V37" s="62">
        <v>0.111</v>
      </c>
      <c r="W37" s="62">
        <v>1.018</v>
      </c>
      <c r="X37" s="62">
        <f>7.432+0.873</f>
        <v>8.305</v>
      </c>
      <c r="Y37" s="62">
        <f>228.961+6.654</f>
        <v>235.615</v>
      </c>
      <c r="Z37" s="162">
        <f t="shared" si="0"/>
        <v>36.519999999999996</v>
      </c>
      <c r="AA37" s="162">
        <f t="shared" si="0"/>
        <v>477.18000000000006</v>
      </c>
      <c r="AB37" s="217"/>
    </row>
    <row r="38" spans="1:28" ht="11.25">
      <c r="A38" s="162" t="s">
        <v>48</v>
      </c>
      <c r="B38" s="62">
        <v>0</v>
      </c>
      <c r="C38" s="62">
        <v>0</v>
      </c>
      <c r="D38" s="62">
        <v>2.375</v>
      </c>
      <c r="E38" s="62">
        <v>82.726</v>
      </c>
      <c r="F38" s="62">
        <v>0.61</v>
      </c>
      <c r="G38" s="62">
        <v>1.433</v>
      </c>
      <c r="H38" s="62">
        <v>0</v>
      </c>
      <c r="I38" s="62">
        <v>0</v>
      </c>
      <c r="J38" s="62">
        <v>34.012</v>
      </c>
      <c r="K38" s="62">
        <v>412.566</v>
      </c>
      <c r="L38" s="62">
        <v>0.316</v>
      </c>
      <c r="M38" s="62">
        <v>1.066</v>
      </c>
      <c r="N38" s="62">
        <v>271.205</v>
      </c>
      <c r="O38" s="62">
        <v>3465.946</v>
      </c>
      <c r="P38" s="62">
        <v>0.222</v>
      </c>
      <c r="Q38" s="62">
        <v>10.878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f>0.391+29.308+7.855</f>
        <v>37.554</v>
      </c>
      <c r="Y38" s="62">
        <f>9.755+319.457+135.743</f>
        <v>464.955</v>
      </c>
      <c r="Z38" s="162">
        <f t="shared" si="0"/>
        <v>346.294</v>
      </c>
      <c r="AA38" s="162">
        <f t="shared" si="0"/>
        <v>4439.570000000001</v>
      </c>
      <c r="AB38" s="217" t="s">
        <v>49</v>
      </c>
    </row>
    <row r="39" spans="1:28" ht="11.25">
      <c r="A39" s="162" t="s">
        <v>50</v>
      </c>
      <c r="B39" s="62">
        <v>32.67</v>
      </c>
      <c r="C39" s="62">
        <v>132.315</v>
      </c>
      <c r="D39" s="62">
        <v>0</v>
      </c>
      <c r="E39" s="62">
        <v>0</v>
      </c>
      <c r="F39" s="62">
        <v>26.7</v>
      </c>
      <c r="G39" s="62">
        <v>129.495</v>
      </c>
      <c r="H39" s="62"/>
      <c r="I39" s="62"/>
      <c r="J39" s="62"/>
      <c r="K39" s="62"/>
      <c r="L39" s="62">
        <v>8.81</v>
      </c>
      <c r="M39" s="62">
        <v>15.33</v>
      </c>
      <c r="N39" s="62">
        <v>37.7</v>
      </c>
      <c r="O39" s="62">
        <v>115.363</v>
      </c>
      <c r="P39" s="62"/>
      <c r="Q39" s="62"/>
      <c r="R39" s="62"/>
      <c r="S39" s="62"/>
      <c r="T39" s="62"/>
      <c r="U39" s="62"/>
      <c r="V39" s="62"/>
      <c r="W39" s="62"/>
      <c r="X39" s="62">
        <f>8.47+9.53+9.22+23.85+14.76</f>
        <v>65.83</v>
      </c>
      <c r="Y39" s="62">
        <f>103.615+47.779+41.455+31.35+108.57</f>
        <v>332.769</v>
      </c>
      <c r="Z39" s="162">
        <f t="shared" si="0"/>
        <v>171.71</v>
      </c>
      <c r="AA39" s="162">
        <f t="shared" si="0"/>
        <v>725.2719999999999</v>
      </c>
      <c r="AB39" s="217"/>
    </row>
    <row r="40" spans="1:28" ht="11.25">
      <c r="A40" s="162" t="s">
        <v>51</v>
      </c>
      <c r="B40" s="62">
        <v>0</v>
      </c>
      <c r="C40" s="62">
        <v>0</v>
      </c>
      <c r="D40" s="62">
        <v>39.837</v>
      </c>
      <c r="E40" s="62">
        <v>954.079</v>
      </c>
      <c r="F40" s="62">
        <f>3.743+7.356</f>
        <v>11.099</v>
      </c>
      <c r="G40" s="62">
        <f>36.452+62.951</f>
        <v>99.40299999999999</v>
      </c>
      <c r="H40" s="62">
        <v>0</v>
      </c>
      <c r="I40" s="62">
        <v>0</v>
      </c>
      <c r="J40" s="62">
        <v>12.457</v>
      </c>
      <c r="K40" s="62">
        <v>170.457</v>
      </c>
      <c r="L40" s="62">
        <v>8.384</v>
      </c>
      <c r="M40" s="62">
        <v>81.16</v>
      </c>
      <c r="N40" s="62">
        <v>85.971</v>
      </c>
      <c r="O40" s="62">
        <v>548.922</v>
      </c>
      <c r="P40" s="62">
        <v>10.845</v>
      </c>
      <c r="Q40" s="62">
        <v>314.319</v>
      </c>
      <c r="R40" s="62">
        <v>9.553</v>
      </c>
      <c r="S40" s="62">
        <v>283.853</v>
      </c>
      <c r="T40" s="62">
        <v>0</v>
      </c>
      <c r="U40" s="62">
        <v>0</v>
      </c>
      <c r="V40" s="62">
        <v>3.824</v>
      </c>
      <c r="W40" s="62">
        <v>42.958</v>
      </c>
      <c r="X40" s="62">
        <f>2.319+7.655+11.301</f>
        <v>21.275</v>
      </c>
      <c r="Y40" s="62">
        <f>190.088+30.16+60.202</f>
        <v>280.45</v>
      </c>
      <c r="Z40" s="162">
        <f t="shared" si="0"/>
        <v>203.24500000000003</v>
      </c>
      <c r="AA40" s="162">
        <f t="shared" si="0"/>
        <v>2775.601</v>
      </c>
      <c r="AB40" s="217"/>
    </row>
    <row r="41" spans="1:28" ht="11.25">
      <c r="A41" s="162" t="s">
        <v>13</v>
      </c>
      <c r="B41" s="162">
        <f aca="true" t="shared" si="1" ref="B41:Y41">SUM(B6:B40)</f>
        <v>274.43199999999996</v>
      </c>
      <c r="C41" s="162">
        <f t="shared" si="1"/>
        <v>1985.1380000000001</v>
      </c>
      <c r="D41" s="162">
        <f t="shared" si="1"/>
        <v>708.8359999999999</v>
      </c>
      <c r="E41" s="162">
        <f t="shared" si="1"/>
        <v>26217.191000000003</v>
      </c>
      <c r="F41" s="162">
        <f t="shared" si="1"/>
        <v>923.176</v>
      </c>
      <c r="G41" s="162">
        <f t="shared" si="1"/>
        <v>8607.740000000002</v>
      </c>
      <c r="H41" s="162">
        <f t="shared" si="1"/>
        <v>79.59400000000002</v>
      </c>
      <c r="I41" s="162">
        <f t="shared" si="1"/>
        <v>1878.331</v>
      </c>
      <c r="J41" s="162">
        <f t="shared" si="1"/>
        <v>203.653</v>
      </c>
      <c r="K41" s="162">
        <f t="shared" si="1"/>
        <v>2270.087</v>
      </c>
      <c r="L41" s="162">
        <f t="shared" si="1"/>
        <v>71.903</v>
      </c>
      <c r="M41" s="162">
        <f t="shared" si="1"/>
        <v>423.395</v>
      </c>
      <c r="N41" s="162">
        <f t="shared" si="1"/>
        <v>2308.975</v>
      </c>
      <c r="O41" s="162">
        <f t="shared" si="1"/>
        <v>12749.766000000001</v>
      </c>
      <c r="P41" s="162">
        <f t="shared" si="1"/>
        <v>97.74499999999998</v>
      </c>
      <c r="Q41" s="162">
        <f t="shared" si="1"/>
        <v>3628.867</v>
      </c>
      <c r="R41" s="162">
        <f t="shared" si="1"/>
        <v>83.741</v>
      </c>
      <c r="S41" s="162">
        <f t="shared" si="1"/>
        <v>1340.7569999999998</v>
      </c>
      <c r="T41" s="162">
        <f t="shared" si="1"/>
        <v>109.21</v>
      </c>
      <c r="U41" s="162">
        <f t="shared" si="1"/>
        <v>807.1730000000001</v>
      </c>
      <c r="V41" s="162">
        <f t="shared" si="1"/>
        <v>156.14400000000003</v>
      </c>
      <c r="W41" s="162">
        <f t="shared" si="1"/>
        <v>1307.838</v>
      </c>
      <c r="X41" s="162">
        <f t="shared" si="1"/>
        <v>1083.489</v>
      </c>
      <c r="Y41" s="162">
        <f t="shared" si="1"/>
        <v>7249.242499999999</v>
      </c>
      <c r="Z41" s="162">
        <f>SUM(Z6:Z40)</f>
        <v>6100.897999999999</v>
      </c>
      <c r="AA41" s="162">
        <f>SUM(AA6:AA40)</f>
        <v>68465.52549999999</v>
      </c>
      <c r="AB41" s="217"/>
    </row>
    <row r="42" spans="1:28" ht="11.25">
      <c r="A42" s="217"/>
      <c r="B42" s="222" t="s">
        <v>49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</row>
    <row r="44" spans="26:27" ht="11.25">
      <c r="Z44" s="162">
        <f>SUM(B41+D41+F41+H41+J41+L41+N41+P41+R41+T41+V41+X41)</f>
        <v>6100.897999999999</v>
      </c>
      <c r="AA44" s="162">
        <f>SUM(C41+E41+G41+I41+K41+M41+O41+Q41+S41+U41+W41+Y41)</f>
        <v>68465.5255</v>
      </c>
    </row>
  </sheetData>
  <sheetProtection/>
  <mergeCells count="16">
    <mergeCell ref="A1:V1"/>
    <mergeCell ref="T2:V2"/>
    <mergeCell ref="T3:W3"/>
    <mergeCell ref="Z4:AA4"/>
    <mergeCell ref="N4:O4"/>
    <mergeCell ref="P4:Q4"/>
    <mergeCell ref="R4:S4"/>
    <mergeCell ref="T4:U4"/>
    <mergeCell ref="V4:W4"/>
    <mergeCell ref="X4:Y4"/>
    <mergeCell ref="J4:K4"/>
    <mergeCell ref="L4:M4"/>
    <mergeCell ref="B4:C4"/>
    <mergeCell ref="D4:E4"/>
    <mergeCell ref="F4:G4"/>
    <mergeCell ref="H4:I4"/>
  </mergeCells>
  <printOptions/>
  <pageMargins left="0.15748031496063" right="0.31496062992126" top="1.06" bottom="0.47244094488189" header="0.58" footer="0.196850393700787"/>
  <pageSetup horizontalDpi="600" verticalDpi="600" orientation="landscape" scale="79" r:id="rId1"/>
  <headerFooter alignWithMargins="0">
    <oddHeader>&amp;CStatewise Area &amp; Production of Fruits for the Year 2008-09&amp;R&amp;"Arial,Bold"&amp;8Area '000' HA
Production '000' MT</oddHead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4"/>
  <sheetViews>
    <sheetView showZeros="0" view="pageBreakPreview" zoomScaleSheetLayoutView="100" zoomScalePageLayoutView="0" workbookViewId="0" topLeftCell="A1">
      <selection activeCell="H48" sqref="H48"/>
    </sheetView>
  </sheetViews>
  <sheetFormatPr defaultColWidth="9.140625" defaultRowHeight="12.75"/>
  <cols>
    <col min="1" max="1" width="18.57421875" style="156" customWidth="1"/>
    <col min="2" max="2" width="4.7109375" style="156" customWidth="1"/>
    <col min="3" max="3" width="7.57421875" style="156" customWidth="1"/>
    <col min="4" max="4" width="5.28125" style="156" customWidth="1"/>
    <col min="5" max="5" width="6.28125" style="156" customWidth="1"/>
    <col min="6" max="6" width="5.421875" style="156" customWidth="1"/>
    <col min="7" max="7" width="6.00390625" style="156" customWidth="1"/>
    <col min="8" max="8" width="4.8515625" style="156" customWidth="1"/>
    <col min="9" max="9" width="6.00390625" style="156" customWidth="1"/>
    <col min="10" max="10" width="6.7109375" style="156" bestFit="1" customWidth="1"/>
    <col min="11" max="11" width="6.00390625" style="156" customWidth="1"/>
    <col min="12" max="12" width="7.421875" style="156" bestFit="1" customWidth="1"/>
    <col min="13" max="13" width="7.57421875" style="156" bestFit="1" customWidth="1"/>
    <col min="14" max="14" width="7.140625" style="156" customWidth="1"/>
    <col min="15" max="15" width="6.28125" style="156" customWidth="1"/>
    <col min="16" max="16" width="7.421875" style="156" customWidth="1"/>
    <col min="17" max="17" width="6.28125" style="156" customWidth="1"/>
    <col min="18" max="18" width="5.7109375" style="156" bestFit="1" customWidth="1"/>
    <col min="19" max="19" width="5.8515625" style="156" customWidth="1"/>
    <col min="20" max="20" width="4.7109375" style="156" customWidth="1"/>
    <col min="21" max="21" width="6.00390625" style="156" customWidth="1"/>
    <col min="22" max="22" width="9.7109375" style="156" customWidth="1"/>
    <col min="23" max="23" width="6.421875" style="156" customWidth="1"/>
    <col min="24" max="24" width="8.28125" style="157" customWidth="1"/>
    <col min="25" max="25" width="9.00390625" style="157" customWidth="1"/>
    <col min="26" max="16384" width="9.140625" style="144" customWidth="1"/>
  </cols>
  <sheetData>
    <row r="1" spans="1:23" ht="12.75">
      <c r="A1" s="298" t="s">
        <v>151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41"/>
    </row>
    <row r="2" spans="1:23" ht="12.75">
      <c r="A2" s="261"/>
      <c r="B2" s="242"/>
      <c r="C2" s="242"/>
      <c r="D2" s="252"/>
      <c r="E2" s="252"/>
      <c r="F2" s="252"/>
      <c r="G2" s="252"/>
      <c r="H2" s="252"/>
      <c r="I2" s="252"/>
      <c r="J2" s="252"/>
      <c r="K2" s="259"/>
      <c r="L2" s="259"/>
      <c r="M2" s="241"/>
      <c r="N2" s="241"/>
      <c r="O2" s="252"/>
      <c r="P2" s="252"/>
      <c r="Q2" s="252"/>
      <c r="R2" s="252"/>
      <c r="S2" s="252"/>
      <c r="T2" s="299" t="s">
        <v>148</v>
      </c>
      <c r="U2" s="299"/>
      <c r="V2" s="299"/>
      <c r="W2" s="241"/>
    </row>
    <row r="3" spans="1:23" ht="12.75">
      <c r="A3" s="261"/>
      <c r="B3" s="242"/>
      <c r="C3" s="242"/>
      <c r="D3" s="252"/>
      <c r="E3" s="252"/>
      <c r="F3" s="252"/>
      <c r="G3" s="252"/>
      <c r="H3" s="252"/>
      <c r="I3" s="252"/>
      <c r="J3" s="252"/>
      <c r="K3" s="259"/>
      <c r="L3" s="259"/>
      <c r="M3" s="241"/>
      <c r="N3" s="241"/>
      <c r="O3" s="252"/>
      <c r="P3" s="252"/>
      <c r="Q3" s="252"/>
      <c r="R3" s="252"/>
      <c r="S3" s="252"/>
      <c r="T3" s="300" t="s">
        <v>149</v>
      </c>
      <c r="U3" s="300"/>
      <c r="V3" s="300"/>
      <c r="W3" s="300"/>
    </row>
    <row r="4" spans="1:25" ht="12.75">
      <c r="A4" s="143" t="s">
        <v>0</v>
      </c>
      <c r="B4" s="279" t="s">
        <v>52</v>
      </c>
      <c r="C4" s="279"/>
      <c r="D4" s="279" t="s">
        <v>53</v>
      </c>
      <c r="E4" s="279"/>
      <c r="F4" s="279" t="s">
        <v>54</v>
      </c>
      <c r="G4" s="279"/>
      <c r="H4" s="279" t="s">
        <v>55</v>
      </c>
      <c r="I4" s="279"/>
      <c r="J4" s="279" t="s">
        <v>56</v>
      </c>
      <c r="K4" s="279"/>
      <c r="L4" s="279" t="s">
        <v>57</v>
      </c>
      <c r="M4" s="279"/>
      <c r="N4" s="279" t="s">
        <v>58</v>
      </c>
      <c r="O4" s="279"/>
      <c r="P4" s="279" t="s">
        <v>59</v>
      </c>
      <c r="Q4" s="279"/>
      <c r="R4" s="279" t="s">
        <v>60</v>
      </c>
      <c r="S4" s="279"/>
      <c r="T4" s="279" t="s">
        <v>61</v>
      </c>
      <c r="U4" s="279"/>
      <c r="V4" s="279" t="s">
        <v>12</v>
      </c>
      <c r="W4" s="279"/>
      <c r="X4" s="279" t="s">
        <v>13</v>
      </c>
      <c r="Y4" s="279"/>
    </row>
    <row r="5" spans="1:25" ht="12.75">
      <c r="A5" s="143"/>
      <c r="B5" s="145" t="s">
        <v>14</v>
      </c>
      <c r="C5" s="145" t="s">
        <v>15</v>
      </c>
      <c r="D5" s="145" t="s">
        <v>62</v>
      </c>
      <c r="E5" s="145" t="s">
        <v>15</v>
      </c>
      <c r="F5" s="145" t="s">
        <v>14</v>
      </c>
      <c r="G5" s="145" t="s">
        <v>15</v>
      </c>
      <c r="H5" s="145" t="s">
        <v>14</v>
      </c>
      <c r="I5" s="145" t="s">
        <v>15</v>
      </c>
      <c r="J5" s="145" t="s">
        <v>14</v>
      </c>
      <c r="K5" s="145" t="s">
        <v>15</v>
      </c>
      <c r="L5" s="145" t="s">
        <v>14</v>
      </c>
      <c r="M5" s="145" t="s">
        <v>15</v>
      </c>
      <c r="N5" s="145" t="s">
        <v>14</v>
      </c>
      <c r="O5" s="145" t="s">
        <v>15</v>
      </c>
      <c r="P5" s="145" t="s">
        <v>14</v>
      </c>
      <c r="Q5" s="145" t="s">
        <v>15</v>
      </c>
      <c r="R5" s="145" t="s">
        <v>14</v>
      </c>
      <c r="S5" s="145" t="s">
        <v>15</v>
      </c>
      <c r="T5" s="145" t="s">
        <v>14</v>
      </c>
      <c r="U5" s="145" t="s">
        <v>15</v>
      </c>
      <c r="V5" s="145" t="s">
        <v>14</v>
      </c>
      <c r="W5" s="145" t="s">
        <v>15</v>
      </c>
      <c r="X5" s="143" t="s">
        <v>14</v>
      </c>
      <c r="Y5" s="143" t="s">
        <v>15</v>
      </c>
    </row>
    <row r="6" spans="1:25" ht="12.75">
      <c r="A6" s="61" t="s">
        <v>16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7">
        <v>3.951</v>
      </c>
      <c r="W6" s="147">
        <v>30.823</v>
      </c>
      <c r="X6" s="148">
        <f aca="true" t="shared" si="0" ref="X6:Y21">B6+D6+F6+H6+J6+L6+N6+P6+R6+T6+V6</f>
        <v>3.951</v>
      </c>
      <c r="Y6" s="148">
        <f t="shared" si="0"/>
        <v>30.823</v>
      </c>
    </row>
    <row r="7" spans="1:25" ht="12.75">
      <c r="A7" s="61" t="s">
        <v>17</v>
      </c>
      <c r="B7" s="146">
        <v>26.564</v>
      </c>
      <c r="C7" s="146">
        <v>531.28</v>
      </c>
      <c r="D7" s="146">
        <v>8.953</v>
      </c>
      <c r="E7" s="146">
        <v>134.295</v>
      </c>
      <c r="F7" s="146">
        <v>0</v>
      </c>
      <c r="G7" s="146">
        <v>0</v>
      </c>
      <c r="H7" s="146">
        <v>29.315</v>
      </c>
      <c r="I7" s="146">
        <v>439.725</v>
      </c>
      <c r="J7" s="146">
        <v>0.113</v>
      </c>
      <c r="K7" s="146">
        <v>3.955</v>
      </c>
      <c r="L7" s="146">
        <v>74.108</v>
      </c>
      <c r="M7" s="146">
        <v>1408.052</v>
      </c>
      <c r="N7" s="146">
        <v>38.978</v>
      </c>
      <c r="O7" s="146">
        <v>662.626</v>
      </c>
      <c r="P7" s="146">
        <v>6.637</v>
      </c>
      <c r="Q7" s="146">
        <v>132.74</v>
      </c>
      <c r="R7" s="146">
        <v>0.697</v>
      </c>
      <c r="S7" s="146">
        <v>13.94</v>
      </c>
      <c r="T7" s="146">
        <v>17.877</v>
      </c>
      <c r="U7" s="146">
        <v>357.54</v>
      </c>
      <c r="V7" s="146">
        <f>48.935+26.146+20.341+12.173+4.854+1.497+7.364</f>
        <v>121.31</v>
      </c>
      <c r="W7" s="146">
        <f>587.22+313.752+305.115+121.73+88.925+147.28+19.281</f>
        <v>1583.3029999999999</v>
      </c>
      <c r="X7" s="148">
        <f t="shared" si="0"/>
        <v>324.552</v>
      </c>
      <c r="Y7" s="148">
        <f t="shared" si="0"/>
        <v>5267.456</v>
      </c>
    </row>
    <row r="8" spans="1:25" ht="12.75">
      <c r="A8" s="52" t="s">
        <v>18</v>
      </c>
      <c r="B8" s="149">
        <v>0</v>
      </c>
      <c r="C8" s="149">
        <v>0</v>
      </c>
      <c r="D8" s="149">
        <v>0</v>
      </c>
      <c r="E8" s="149">
        <v>0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0</v>
      </c>
      <c r="M8" s="149">
        <v>0</v>
      </c>
      <c r="N8" s="149">
        <v>0</v>
      </c>
      <c r="O8" s="149">
        <v>0</v>
      </c>
      <c r="P8" s="149">
        <v>4</v>
      </c>
      <c r="Q8" s="149">
        <v>31.7</v>
      </c>
      <c r="R8" s="149">
        <v>0</v>
      </c>
      <c r="S8" s="149">
        <v>0</v>
      </c>
      <c r="T8" s="149">
        <v>0</v>
      </c>
      <c r="U8" s="149">
        <v>0</v>
      </c>
      <c r="V8" s="149">
        <v>19.8</v>
      </c>
      <c r="W8" s="149">
        <v>78.3</v>
      </c>
      <c r="X8" s="148">
        <f t="shared" si="0"/>
        <v>23.8</v>
      </c>
      <c r="Y8" s="148">
        <f t="shared" si="0"/>
        <v>110</v>
      </c>
    </row>
    <row r="9" spans="1:25" ht="12.75">
      <c r="A9" s="61" t="s">
        <v>19</v>
      </c>
      <c r="B9" s="146">
        <v>15.498</v>
      </c>
      <c r="C9" s="146">
        <v>275.864</v>
      </c>
      <c r="D9" s="146">
        <v>29.212</v>
      </c>
      <c r="E9" s="146">
        <v>585.174</v>
      </c>
      <c r="F9" s="146">
        <v>19.824</v>
      </c>
      <c r="G9" s="146">
        <v>282.908</v>
      </c>
      <c r="H9" s="146">
        <v>10.345</v>
      </c>
      <c r="I9" s="146">
        <v>129.167</v>
      </c>
      <c r="J9" s="146">
        <v>19.431</v>
      </c>
      <c r="K9" s="146">
        <v>11.93</v>
      </c>
      <c r="L9" s="146">
        <v>15.638</v>
      </c>
      <c r="M9" s="146">
        <v>297.122</v>
      </c>
      <c r="N9" s="146">
        <v>7.147</v>
      </c>
      <c r="O9" s="146">
        <v>32.876</v>
      </c>
      <c r="P9" s="146">
        <v>79.66</v>
      </c>
      <c r="Q9" s="146">
        <v>669.194</v>
      </c>
      <c r="R9" s="146">
        <v>8.674</v>
      </c>
      <c r="S9" s="146">
        <v>31.529</v>
      </c>
      <c r="T9" s="146">
        <v>2.82</v>
      </c>
      <c r="U9" s="146">
        <v>13.494</v>
      </c>
      <c r="V9" s="146">
        <v>31.803</v>
      </c>
      <c r="W9" s="146">
        <v>587.433</v>
      </c>
      <c r="X9" s="148">
        <f t="shared" si="0"/>
        <v>240.052</v>
      </c>
      <c r="Y9" s="148">
        <f t="shared" si="0"/>
        <v>2916.691</v>
      </c>
    </row>
    <row r="10" spans="1:25" ht="12.75">
      <c r="A10" s="61" t="s">
        <v>20</v>
      </c>
      <c r="B10" s="146">
        <v>55.117</v>
      </c>
      <c r="C10" s="146">
        <v>1186.118</v>
      </c>
      <c r="D10" s="146">
        <v>38.334</v>
      </c>
      <c r="E10" s="146">
        <v>676.978</v>
      </c>
      <c r="F10" s="146">
        <v>60.972</v>
      </c>
      <c r="G10" s="146">
        <v>1043.841</v>
      </c>
      <c r="H10" s="146">
        <v>58.176</v>
      </c>
      <c r="I10" s="146">
        <v>743.489</v>
      </c>
      <c r="J10" s="146">
        <v>9.092</v>
      </c>
      <c r="K10" s="146">
        <v>61.28</v>
      </c>
      <c r="L10" s="146">
        <v>46.386</v>
      </c>
      <c r="M10" s="146">
        <v>1037.191</v>
      </c>
      <c r="N10" s="146">
        <v>51.614</v>
      </c>
      <c r="O10" s="146">
        <v>946.601</v>
      </c>
      <c r="P10" s="146">
        <v>310.332</v>
      </c>
      <c r="Q10" s="146">
        <v>5033.585</v>
      </c>
      <c r="R10" s="146">
        <v>0.328</v>
      </c>
      <c r="S10" s="146">
        <v>6.622</v>
      </c>
      <c r="T10" s="146"/>
      <c r="U10" s="146"/>
      <c r="V10" s="146">
        <f>39.423+30.618+36.074+1.716+8.493+9.012+0.368+1.109+0.848+5.763+12.724+15.536+4.474+0.773+0.472+29.118</f>
        <v>196.52099999999996</v>
      </c>
      <c r="W10" s="146">
        <f>450.605+625.22+497.1+18.739+50.448+63.444+8.641+23.544+10.49+60.166+97.848+241.119+52.212+8.603+21.4+420.464</f>
        <v>2650.0430000000006</v>
      </c>
      <c r="X10" s="148">
        <f t="shared" si="0"/>
        <v>826.8719999999998</v>
      </c>
      <c r="Y10" s="148">
        <f t="shared" si="0"/>
        <v>13385.748</v>
      </c>
    </row>
    <row r="11" spans="1:25" ht="12.75">
      <c r="A11" s="61" t="s">
        <v>21</v>
      </c>
      <c r="B11" s="146">
        <v>0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7">
        <v>0.1</v>
      </c>
      <c r="W11" s="147">
        <v>1.7</v>
      </c>
      <c r="X11" s="148">
        <f t="shared" si="0"/>
        <v>0.1</v>
      </c>
      <c r="Y11" s="148">
        <f t="shared" si="0"/>
        <v>1.7</v>
      </c>
    </row>
    <row r="12" spans="1:25" ht="12.75">
      <c r="A12" s="61" t="s">
        <v>22</v>
      </c>
      <c r="B12" s="146">
        <v>24.249</v>
      </c>
      <c r="C12" s="146">
        <v>355.49</v>
      </c>
      <c r="D12" s="146">
        <v>13.597</v>
      </c>
      <c r="E12" s="146">
        <v>213.744</v>
      </c>
      <c r="F12" s="146">
        <v>16.095</v>
      </c>
      <c r="G12" s="146">
        <v>241.425</v>
      </c>
      <c r="H12" s="146">
        <v>23.452</v>
      </c>
      <c r="I12" s="146">
        <v>207.55</v>
      </c>
      <c r="J12" s="146">
        <v>10.266</v>
      </c>
      <c r="K12" s="146">
        <v>46.199</v>
      </c>
      <c r="L12" s="146">
        <v>39.213</v>
      </c>
      <c r="M12" s="146">
        <v>420.363</v>
      </c>
      <c r="N12" s="211">
        <v>8.8</v>
      </c>
      <c r="O12" s="211">
        <v>136.7</v>
      </c>
      <c r="P12" s="146">
        <v>32.126</v>
      </c>
      <c r="Q12" s="146">
        <v>358.526</v>
      </c>
      <c r="R12" s="146">
        <v>3.766</v>
      </c>
      <c r="S12" s="146">
        <v>33.329</v>
      </c>
      <c r="T12" s="146">
        <v>0</v>
      </c>
      <c r="U12" s="146">
        <v>0</v>
      </c>
      <c r="V12" s="146">
        <f>3.677+11.412+5.079+4.377+3.458+4.819+8.456+0.807+1.68+7.247+4.082+1.216+5.354+2.644+3.45+63.241</f>
        <v>130.99900000000002</v>
      </c>
      <c r="W12" s="146">
        <f>41.55+45.648+50.282+36.766+23.514+53.78+138.678+2.743+11.34+99.283+69.108+13.777+36.3+29.163+20.357+355.414</f>
        <v>1027.703</v>
      </c>
      <c r="X12" s="148">
        <f t="shared" si="0"/>
        <v>302.56300000000005</v>
      </c>
      <c r="Y12" s="148">
        <f t="shared" si="0"/>
        <v>3041.0290000000005</v>
      </c>
    </row>
    <row r="13" spans="1:25" ht="12.75">
      <c r="A13" s="61" t="s">
        <v>23</v>
      </c>
      <c r="B13" s="147">
        <v>0.45</v>
      </c>
      <c r="C13" s="147">
        <v>2.2</v>
      </c>
      <c r="D13" s="147">
        <v>0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0.35</v>
      </c>
      <c r="M13" s="147">
        <v>1.8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47">
        <v>0</v>
      </c>
      <c r="V13" s="147">
        <v>0.17</v>
      </c>
      <c r="W13" s="147">
        <v>0.48</v>
      </c>
      <c r="X13" s="148">
        <f t="shared" si="0"/>
        <v>0.9700000000000001</v>
      </c>
      <c r="Y13" s="148">
        <f t="shared" si="0"/>
        <v>4.48</v>
      </c>
    </row>
    <row r="14" spans="1:25" ht="12.75">
      <c r="A14" s="61" t="s">
        <v>24</v>
      </c>
      <c r="B14" s="147">
        <v>0.03</v>
      </c>
      <c r="C14" s="147">
        <v>0.025</v>
      </c>
      <c r="D14" s="147">
        <v>0.003</v>
      </c>
      <c r="E14" s="147">
        <v>0.013</v>
      </c>
      <c r="F14" s="147">
        <v>0.002</v>
      </c>
      <c r="G14" s="147">
        <v>0.012</v>
      </c>
      <c r="H14" s="147">
        <v>0.02</v>
      </c>
      <c r="I14" s="147">
        <v>0.022</v>
      </c>
      <c r="J14" s="147">
        <v>0.009</v>
      </c>
      <c r="K14" s="147">
        <v>0.005</v>
      </c>
      <c r="L14" s="147">
        <v>0.015</v>
      </c>
      <c r="M14" s="147">
        <v>0.013</v>
      </c>
      <c r="N14" s="147">
        <v>0.015</v>
      </c>
      <c r="O14" s="147">
        <v>0.013</v>
      </c>
      <c r="P14" s="147">
        <v>0.015</v>
      </c>
      <c r="Q14" s="147">
        <v>0.013</v>
      </c>
      <c r="R14" s="147">
        <v>0.015</v>
      </c>
      <c r="S14" s="147">
        <v>0.013</v>
      </c>
      <c r="T14" s="147">
        <v>0.015</v>
      </c>
      <c r="U14" s="147">
        <v>0.013</v>
      </c>
      <c r="V14" s="147">
        <v>0.023</v>
      </c>
      <c r="W14" s="147">
        <v>0.058</v>
      </c>
      <c r="X14" s="148">
        <f t="shared" si="0"/>
        <v>0.162</v>
      </c>
      <c r="Y14" s="148">
        <f t="shared" si="0"/>
        <v>0.2</v>
      </c>
    </row>
    <row r="15" spans="1:25" ht="12.75">
      <c r="A15" s="61" t="s">
        <v>25</v>
      </c>
      <c r="B15" s="146">
        <v>1.569</v>
      </c>
      <c r="C15" s="146">
        <v>34.005</v>
      </c>
      <c r="D15" s="146">
        <v>0</v>
      </c>
      <c r="E15" s="146">
        <v>0</v>
      </c>
      <c r="F15" s="146">
        <v>6.188</v>
      </c>
      <c r="G15" s="146">
        <v>128.404</v>
      </c>
      <c r="H15" s="146">
        <v>2.164</v>
      </c>
      <c r="I15" s="146">
        <v>29.889</v>
      </c>
      <c r="J15" s="146">
        <v>0.448</v>
      </c>
      <c r="K15" s="146">
        <v>6.014</v>
      </c>
      <c r="L15" s="146">
        <v>1.741</v>
      </c>
      <c r="M15" s="146">
        <v>35.02</v>
      </c>
      <c r="N15" s="146">
        <v>1.241</v>
      </c>
      <c r="O15" s="146">
        <v>23.534</v>
      </c>
      <c r="P15" s="146">
        <v>1.469</v>
      </c>
      <c r="Q15" s="146">
        <v>34.154</v>
      </c>
      <c r="R15" s="146">
        <v>0</v>
      </c>
      <c r="S15" s="146">
        <v>0</v>
      </c>
      <c r="T15" s="146">
        <v>0</v>
      </c>
      <c r="U15" s="146">
        <v>0</v>
      </c>
      <c r="V15" s="146">
        <f>2.471+1.31+1.038+0.616+4.479+3.901+1.335+1.159+4.949</f>
        <v>21.257999999999996</v>
      </c>
      <c r="W15" s="146">
        <f>40.919+22.401+13.725+8.257+72.184+59.497+19.797+27.174+62.426</f>
        <v>326.38</v>
      </c>
      <c r="X15" s="148">
        <f t="shared" si="0"/>
        <v>36.077999999999996</v>
      </c>
      <c r="Y15" s="148">
        <f t="shared" si="0"/>
        <v>617.4000000000001</v>
      </c>
    </row>
    <row r="16" spans="1:25" ht="12.75">
      <c r="A16" s="61" t="s">
        <v>26</v>
      </c>
      <c r="B16" s="146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0</v>
      </c>
      <c r="V16" s="146">
        <v>5.7</v>
      </c>
      <c r="W16" s="146">
        <v>57.6</v>
      </c>
      <c r="X16" s="148">
        <f t="shared" si="0"/>
        <v>5.7</v>
      </c>
      <c r="Y16" s="148">
        <f t="shared" si="0"/>
        <v>57.6</v>
      </c>
    </row>
    <row r="17" spans="1:25" ht="12.75">
      <c r="A17" s="61" t="s">
        <v>27</v>
      </c>
      <c r="B17" s="146">
        <v>62.563</v>
      </c>
      <c r="C17" s="146">
        <v>1046.261</v>
      </c>
      <c r="D17" s="146">
        <v>22.955</v>
      </c>
      <c r="E17" s="146">
        <v>404.559</v>
      </c>
      <c r="F17" s="146">
        <v>18.491</v>
      </c>
      <c r="G17" s="146">
        <v>321.147</v>
      </c>
      <c r="H17" s="146">
        <v>44.883</v>
      </c>
      <c r="I17" s="146">
        <v>407.091</v>
      </c>
      <c r="J17" s="146">
        <v>0</v>
      </c>
      <c r="K17" s="146">
        <v>0</v>
      </c>
      <c r="L17" s="146">
        <v>30.526</v>
      </c>
      <c r="M17" s="146">
        <v>746.203</v>
      </c>
      <c r="N17" s="146">
        <v>57.622</v>
      </c>
      <c r="O17" s="146">
        <v>1409.57</v>
      </c>
      <c r="P17" s="146">
        <v>56.96</v>
      </c>
      <c r="Q17" s="146">
        <v>1448.825</v>
      </c>
      <c r="R17" s="146">
        <v>0</v>
      </c>
      <c r="S17" s="146">
        <v>0</v>
      </c>
      <c r="T17" s="146">
        <v>0</v>
      </c>
      <c r="U17" s="146">
        <v>0</v>
      </c>
      <c r="V17" s="146">
        <f>25.966+20.073+42.635+12.146</f>
        <v>100.82000000000001</v>
      </c>
      <c r="W17" s="146">
        <f>195.16+179.434+525.119+123.752</f>
        <v>1023.4649999999999</v>
      </c>
      <c r="X17" s="148">
        <f t="shared" si="0"/>
        <v>394.82</v>
      </c>
      <c r="Y17" s="148">
        <f t="shared" si="0"/>
        <v>6807.121</v>
      </c>
    </row>
    <row r="18" spans="1:25" ht="12.75">
      <c r="A18" s="61" t="s">
        <v>28</v>
      </c>
      <c r="B18" s="146">
        <v>13.306</v>
      </c>
      <c r="C18" s="146">
        <v>232.313</v>
      </c>
      <c r="D18" s="146">
        <v>11.154</v>
      </c>
      <c r="E18" s="146">
        <v>214.204</v>
      </c>
      <c r="F18" s="146">
        <v>25.873</v>
      </c>
      <c r="G18" s="146">
        <v>500.336</v>
      </c>
      <c r="H18" s="146">
        <v>15.443</v>
      </c>
      <c r="I18" s="146">
        <v>111.278</v>
      </c>
      <c r="J18" s="146">
        <v>10.579</v>
      </c>
      <c r="K18" s="146">
        <v>91.243</v>
      </c>
      <c r="L18" s="146">
        <v>22.041</v>
      </c>
      <c r="M18" s="146">
        <v>316.267</v>
      </c>
      <c r="N18" s="146">
        <v>18.796</v>
      </c>
      <c r="O18" s="146">
        <v>347.942</v>
      </c>
      <c r="P18" s="146">
        <v>23.175</v>
      </c>
      <c r="Q18" s="146">
        <v>490.06</v>
      </c>
      <c r="R18" s="146"/>
      <c r="S18" s="146"/>
      <c r="T18" s="146"/>
      <c r="U18" s="146"/>
      <c r="V18" s="146">
        <f>22.284+17.011+13.105+65.556+0.448+25.606+14.053</f>
        <v>158.063</v>
      </c>
      <c r="W18" s="146">
        <f>315.79+271.907+101.652+557.677+3.346+221.337+118.079</f>
        <v>1589.788</v>
      </c>
      <c r="X18" s="148">
        <f t="shared" si="0"/>
        <v>298.42999999999995</v>
      </c>
      <c r="Y18" s="148">
        <f t="shared" si="0"/>
        <v>3893.431</v>
      </c>
    </row>
    <row r="19" spans="1:25" ht="12.75">
      <c r="A19" s="76" t="s">
        <v>29</v>
      </c>
      <c r="B19" s="146">
        <v>0.903</v>
      </c>
      <c r="C19" s="146">
        <v>17.564</v>
      </c>
      <c r="D19" s="146">
        <v>4.511</v>
      </c>
      <c r="E19" s="146">
        <v>140.847</v>
      </c>
      <c r="F19" s="146">
        <v>2.801</v>
      </c>
      <c r="G19" s="146">
        <v>54.512</v>
      </c>
      <c r="H19" s="146">
        <v>2.242</v>
      </c>
      <c r="I19" s="146">
        <v>26.235</v>
      </c>
      <c r="J19" s="146">
        <v>18.93</v>
      </c>
      <c r="K19" s="146">
        <v>202.521</v>
      </c>
      <c r="L19" s="146">
        <v>9.555</v>
      </c>
      <c r="M19" s="146">
        <v>336.287</v>
      </c>
      <c r="N19" s="146">
        <v>1.855</v>
      </c>
      <c r="O19" s="146">
        <v>32.142</v>
      </c>
      <c r="P19" s="146">
        <v>15.984</v>
      </c>
      <c r="Q19" s="146">
        <v>173.681</v>
      </c>
      <c r="R19" s="146"/>
      <c r="S19" s="146"/>
      <c r="T19" s="146"/>
      <c r="U19" s="146"/>
      <c r="V19" s="146">
        <f>3.197+3.339+1.987+2.443+2.447+4.533</f>
        <v>17.946</v>
      </c>
      <c r="W19" s="146">
        <f>33.112+44.733+41.303+54.237+31.81+74.931</f>
        <v>280.126</v>
      </c>
      <c r="X19" s="148">
        <f t="shared" si="0"/>
        <v>74.727</v>
      </c>
      <c r="Y19" s="148">
        <f t="shared" si="0"/>
        <v>1263.915</v>
      </c>
    </row>
    <row r="20" spans="1:27" ht="12.75">
      <c r="A20" s="61" t="s">
        <v>30</v>
      </c>
      <c r="B20" s="146">
        <v>2.323</v>
      </c>
      <c r="C20" s="146">
        <v>41.311</v>
      </c>
      <c r="D20" s="146">
        <v>3.635</v>
      </c>
      <c r="E20" s="146">
        <v>63.497</v>
      </c>
      <c r="F20" s="146">
        <v>3.824</v>
      </c>
      <c r="G20" s="146">
        <v>72.623</v>
      </c>
      <c r="H20" s="146">
        <v>2.149</v>
      </c>
      <c r="I20" s="146">
        <v>42.479</v>
      </c>
      <c r="J20" s="146">
        <v>4.399</v>
      </c>
      <c r="K20" s="146">
        <v>73.49</v>
      </c>
      <c r="L20" s="146">
        <v>3.524</v>
      </c>
      <c r="M20" s="146">
        <v>79.309</v>
      </c>
      <c r="N20" s="146">
        <v>3.044</v>
      </c>
      <c r="O20" s="146">
        <v>63.222</v>
      </c>
      <c r="P20" s="146">
        <v>6.535</v>
      </c>
      <c r="Q20" s="146">
        <v>99.58</v>
      </c>
      <c r="R20" s="146"/>
      <c r="S20" s="146"/>
      <c r="T20" s="146"/>
      <c r="U20" s="146"/>
      <c r="V20" s="146">
        <f>2.363+0.819+4.847+1.127+1.704+3.952+3.116+2.337+1.604+1.071+0.692+7.596</f>
        <v>31.228</v>
      </c>
      <c r="W20" s="146">
        <f>26.901+9.21+86.333+20.351+21.558+37.868+68.974+43.293+20.946+21.516+13.902+117.286</f>
        <v>488.13800000000003</v>
      </c>
      <c r="X20" s="148">
        <f t="shared" si="0"/>
        <v>60.661</v>
      </c>
      <c r="Y20" s="148">
        <f t="shared" si="0"/>
        <v>1023.649</v>
      </c>
      <c r="Z20" s="144">
        <f>61.226-0.565</f>
        <v>60.661</v>
      </c>
      <c r="AA20" s="144">
        <f>1035-11.351</f>
        <v>1023.649</v>
      </c>
    </row>
    <row r="21" spans="1:26" ht="12.75">
      <c r="A21" s="61" t="s">
        <v>31</v>
      </c>
      <c r="B21" s="146">
        <v>22.675</v>
      </c>
      <c r="C21" s="146">
        <v>453.9</v>
      </c>
      <c r="D21" s="146">
        <v>15.384</v>
      </c>
      <c r="E21" s="146">
        <v>245.99</v>
      </c>
      <c r="F21" s="146">
        <v>27.309</v>
      </c>
      <c r="G21" s="146">
        <v>436.944</v>
      </c>
      <c r="H21" s="146">
        <v>29.78</v>
      </c>
      <c r="I21" s="146">
        <v>417.218</v>
      </c>
      <c r="J21" s="146">
        <v>12.07</v>
      </c>
      <c r="K21" s="146">
        <v>241.4</v>
      </c>
      <c r="L21" s="146">
        <v>21.805</v>
      </c>
      <c r="M21" s="146">
        <v>436.1</v>
      </c>
      <c r="N21" s="146">
        <v>15.088</v>
      </c>
      <c r="O21" s="146">
        <v>301.76</v>
      </c>
      <c r="P21" s="146">
        <v>38.15</v>
      </c>
      <c r="Q21" s="146">
        <v>359.373</v>
      </c>
      <c r="R21" s="146"/>
      <c r="S21" s="146"/>
      <c r="T21" s="146"/>
      <c r="U21" s="146"/>
      <c r="V21" s="146">
        <f>13.443+14.795+3.311+5.89+22.385</f>
        <v>59.824</v>
      </c>
      <c r="W21" s="146">
        <f>161.181+177.54+62.909+342.714</f>
        <v>744.344</v>
      </c>
      <c r="X21" s="148">
        <f t="shared" si="0"/>
        <v>242.08499999999998</v>
      </c>
      <c r="Y21" s="148">
        <f t="shared" si="0"/>
        <v>3637.029</v>
      </c>
      <c r="Z21" s="150"/>
    </row>
    <row r="22" spans="1:25" ht="12.75">
      <c r="A22" s="61" t="s">
        <v>32</v>
      </c>
      <c r="B22" s="146">
        <v>15.316</v>
      </c>
      <c r="C22" s="146">
        <v>372.904</v>
      </c>
      <c r="D22" s="146">
        <v>8.603</v>
      </c>
      <c r="E22" s="146">
        <v>178.717</v>
      </c>
      <c r="F22" s="146">
        <v>4.341</v>
      </c>
      <c r="G22" s="146">
        <v>77.946</v>
      </c>
      <c r="H22" s="146">
        <v>8.072</v>
      </c>
      <c r="I22" s="146">
        <v>73.088</v>
      </c>
      <c r="J22" s="146">
        <v>1.56</v>
      </c>
      <c r="K22" s="146">
        <v>16.677</v>
      </c>
      <c r="L22" s="146">
        <v>53.4</v>
      </c>
      <c r="M22" s="146">
        <v>1573.784</v>
      </c>
      <c r="N22" s="146">
        <v>165.134</v>
      </c>
      <c r="O22" s="146">
        <v>3031.762</v>
      </c>
      <c r="P22" s="146">
        <v>71.563</v>
      </c>
      <c r="Q22" s="146">
        <v>606.305</v>
      </c>
      <c r="R22" s="146">
        <v>2.833</v>
      </c>
      <c r="S22" s="146">
        <v>34.82</v>
      </c>
      <c r="T22" s="146">
        <v>1.016</v>
      </c>
      <c r="U22" s="146">
        <v>12.976</v>
      </c>
      <c r="V22" s="146">
        <f>10.03+39.725+2.447+5.079+2.518+4.194+2.173+2.674+1.797+0.19+9.166+0.741+3.105+3.117+2.55+1.692+4.898+18.734+1.282</f>
        <v>116.11200000000001</v>
      </c>
      <c r="W22" s="146">
        <f>106.954+581.785+45.167+54.933+44.188+80.643+31.929+18.247+5.182+7.14+299.012+12.41+30.755+29.609+43.43+12.601+37.579+292.192+12.148</f>
        <v>1745.904</v>
      </c>
      <c r="X22" s="148">
        <f aca="true" t="shared" si="1" ref="X22:Y40">B22+D22+F22+H22+J22+L22+N22+P22+R22+T22+V22</f>
        <v>447.95000000000005</v>
      </c>
      <c r="Y22" s="148">
        <f t="shared" si="1"/>
        <v>7724.883</v>
      </c>
    </row>
    <row r="23" spans="1:25" ht="12.75">
      <c r="A23" s="61" t="s">
        <v>33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>
        <v>0</v>
      </c>
      <c r="O23" s="146">
        <v>0</v>
      </c>
      <c r="P23" s="146">
        <v>0.327</v>
      </c>
      <c r="Q23" s="146">
        <v>7.928</v>
      </c>
      <c r="R23" s="146">
        <v>0.468</v>
      </c>
      <c r="S23" s="146">
        <v>5.949</v>
      </c>
      <c r="T23" s="151">
        <v>86.875</v>
      </c>
      <c r="U23" s="151">
        <v>2516.761</v>
      </c>
      <c r="V23" s="149">
        <v>75.9</v>
      </c>
      <c r="W23" s="149">
        <v>978.8</v>
      </c>
      <c r="X23" s="148">
        <f t="shared" si="1"/>
        <v>163.57</v>
      </c>
      <c r="Y23" s="148">
        <f t="shared" si="1"/>
        <v>3509.438</v>
      </c>
    </row>
    <row r="24" spans="1:25" ht="12.75">
      <c r="A24" s="61" t="s">
        <v>34</v>
      </c>
      <c r="B24" s="147">
        <v>0</v>
      </c>
      <c r="C24" s="147">
        <v>0</v>
      </c>
      <c r="D24" s="147"/>
      <c r="E24" s="147"/>
      <c r="F24" s="147"/>
      <c r="G24" s="147"/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/>
      <c r="P24" s="147"/>
      <c r="Q24" s="147"/>
      <c r="R24" s="147">
        <v>0</v>
      </c>
      <c r="S24" s="147">
        <v>0</v>
      </c>
      <c r="T24" s="147"/>
      <c r="U24" s="147"/>
      <c r="V24" s="147">
        <v>0.445</v>
      </c>
      <c r="W24" s="147">
        <v>14.12</v>
      </c>
      <c r="X24" s="148">
        <f t="shared" si="1"/>
        <v>0.445</v>
      </c>
      <c r="Y24" s="148">
        <f t="shared" si="1"/>
        <v>14.12</v>
      </c>
    </row>
    <row r="25" spans="1:25" ht="12.75">
      <c r="A25" s="61" t="s">
        <v>35</v>
      </c>
      <c r="B25" s="146">
        <v>21.419</v>
      </c>
      <c r="C25" s="146">
        <v>321.285</v>
      </c>
      <c r="D25" s="146">
        <v>7.125</v>
      </c>
      <c r="E25" s="146">
        <v>142.5</v>
      </c>
      <c r="F25" s="146">
        <v>11.889</v>
      </c>
      <c r="G25" s="146">
        <v>190.224</v>
      </c>
      <c r="H25" s="146">
        <v>10.123</v>
      </c>
      <c r="I25" s="146">
        <v>60.738</v>
      </c>
      <c r="J25" s="146">
        <v>23.709</v>
      </c>
      <c r="K25" s="146">
        <v>260.799</v>
      </c>
      <c r="L25" s="146">
        <v>30.039</v>
      </c>
      <c r="M25" s="146">
        <v>450.585</v>
      </c>
      <c r="N25" s="146">
        <v>53.022</v>
      </c>
      <c r="O25" s="146">
        <v>881.756</v>
      </c>
      <c r="P25" s="146">
        <v>66.183</v>
      </c>
      <c r="Q25" s="146">
        <v>882.881</v>
      </c>
      <c r="R25" s="146">
        <v>4.647</v>
      </c>
      <c r="S25" s="146">
        <v>25.744</v>
      </c>
      <c r="T25" s="146"/>
      <c r="U25" s="146"/>
      <c r="V25" s="146">
        <v>63.517</v>
      </c>
      <c r="W25" s="146">
        <v>889.238</v>
      </c>
      <c r="X25" s="148">
        <f t="shared" si="1"/>
        <v>291.673</v>
      </c>
      <c r="Y25" s="148">
        <f t="shared" si="1"/>
        <v>4105.75</v>
      </c>
    </row>
    <row r="26" spans="1:25" ht="12.75">
      <c r="A26" s="61" t="s">
        <v>36</v>
      </c>
      <c r="B26" s="146">
        <v>28.9</v>
      </c>
      <c r="C26" s="146">
        <v>471.07</v>
      </c>
      <c r="D26" s="146">
        <v>15</v>
      </c>
      <c r="E26" s="146">
        <v>381</v>
      </c>
      <c r="F26" s="146">
        <v>13</v>
      </c>
      <c r="G26" s="146">
        <v>328.9</v>
      </c>
      <c r="H26" s="146">
        <v>25</v>
      </c>
      <c r="I26" s="146">
        <v>157.5</v>
      </c>
      <c r="J26" s="146">
        <v>6</v>
      </c>
      <c r="K26" s="146">
        <v>26.4</v>
      </c>
      <c r="L26" s="146">
        <v>33</v>
      </c>
      <c r="M26" s="146">
        <v>732.27</v>
      </c>
      <c r="N26" s="146">
        <v>250</v>
      </c>
      <c r="O26" s="146">
        <v>3932.5</v>
      </c>
      <c r="P26" s="146">
        <v>18</v>
      </c>
      <c r="Q26" s="146">
        <v>187.2</v>
      </c>
      <c r="R26" s="146">
        <v>0</v>
      </c>
      <c r="S26" s="146">
        <v>0</v>
      </c>
      <c r="T26" s="146"/>
      <c r="U26" s="146"/>
      <c r="V26" s="146">
        <f>26+33.4</f>
        <v>59.4</v>
      </c>
      <c r="W26" s="146">
        <f>111.8+39.375</f>
        <v>151.175</v>
      </c>
      <c r="X26" s="148">
        <f t="shared" si="1"/>
        <v>448.29999999999995</v>
      </c>
      <c r="Y26" s="148">
        <f t="shared" si="1"/>
        <v>6368.014999999999</v>
      </c>
    </row>
    <row r="27" spans="1:25" s="214" customFormat="1" ht="12.75">
      <c r="A27" s="212" t="s">
        <v>37</v>
      </c>
      <c r="B27" s="213">
        <v>0</v>
      </c>
      <c r="C27" s="213">
        <v>0</v>
      </c>
      <c r="D27" s="213">
        <v>3.985</v>
      </c>
      <c r="E27" s="213">
        <v>43.819</v>
      </c>
      <c r="F27" s="213">
        <v>1.919</v>
      </c>
      <c r="G27" s="213">
        <v>19.187</v>
      </c>
      <c r="H27" s="213">
        <v>0</v>
      </c>
      <c r="I27" s="213">
        <v>0</v>
      </c>
      <c r="J27" s="213">
        <v>3.506</v>
      </c>
      <c r="K27" s="213">
        <v>33.989</v>
      </c>
      <c r="L27" s="213">
        <v>1.845</v>
      </c>
      <c r="M27" s="213">
        <v>23.077</v>
      </c>
      <c r="N27" s="213">
        <v>0</v>
      </c>
      <c r="O27" s="213">
        <v>0</v>
      </c>
      <c r="P27" s="213">
        <v>1.69</v>
      </c>
      <c r="Q27" s="213">
        <v>15.196</v>
      </c>
      <c r="R27" s="213">
        <v>0</v>
      </c>
      <c r="S27" s="213">
        <v>0</v>
      </c>
      <c r="T27" s="213">
        <v>0</v>
      </c>
      <c r="U27" s="213">
        <v>0</v>
      </c>
      <c r="V27" s="213">
        <v>3.673</v>
      </c>
      <c r="W27" s="213">
        <v>38.995</v>
      </c>
      <c r="X27" s="148">
        <f t="shared" si="1"/>
        <v>16.618000000000002</v>
      </c>
      <c r="Y27" s="148">
        <f t="shared" si="1"/>
        <v>174.263</v>
      </c>
    </row>
    <row r="28" spans="1:25" ht="12.75">
      <c r="A28" s="61" t="s">
        <v>38</v>
      </c>
      <c r="B28" s="149">
        <v>0</v>
      </c>
      <c r="C28" s="149">
        <v>0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49">
        <v>0</v>
      </c>
      <c r="P28" s="149">
        <v>20.257</v>
      </c>
      <c r="Q28" s="149">
        <v>221.672</v>
      </c>
      <c r="R28" s="149">
        <v>5.487</v>
      </c>
      <c r="S28" s="149">
        <v>19.199</v>
      </c>
      <c r="T28" s="149">
        <v>4.859</v>
      </c>
      <c r="U28" s="149">
        <v>26.423</v>
      </c>
      <c r="V28" s="149">
        <v>13.671</v>
      </c>
      <c r="W28" s="149">
        <v>148.5</v>
      </c>
      <c r="X28" s="148">
        <f t="shared" si="1"/>
        <v>44.274</v>
      </c>
      <c r="Y28" s="148">
        <f t="shared" si="1"/>
        <v>415.794</v>
      </c>
    </row>
    <row r="29" spans="1:25" ht="12.75">
      <c r="A29" s="61" t="s">
        <v>39</v>
      </c>
      <c r="B29" s="215"/>
      <c r="C29" s="215"/>
      <c r="D29" s="147">
        <v>2.985</v>
      </c>
      <c r="E29" s="147">
        <v>23.88</v>
      </c>
      <c r="F29" s="147">
        <v>0.33</v>
      </c>
      <c r="G29" s="147">
        <v>3.3</v>
      </c>
      <c r="H29" s="146"/>
      <c r="I29" s="147"/>
      <c r="J29" s="146"/>
      <c r="K29" s="147"/>
      <c r="L29" s="146">
        <v>0.62</v>
      </c>
      <c r="M29" s="147">
        <v>4.96</v>
      </c>
      <c r="N29" s="147"/>
      <c r="O29" s="147"/>
      <c r="P29" s="147">
        <v>2.903</v>
      </c>
      <c r="Q29" s="147">
        <v>9.87</v>
      </c>
      <c r="R29" s="147"/>
      <c r="S29" s="147"/>
      <c r="T29" s="147"/>
      <c r="U29" s="147"/>
      <c r="V29" s="146">
        <f>0.25+0.451+0.318+3.2+0.085+2.55+0.743</f>
        <v>7.597</v>
      </c>
      <c r="W29" s="147">
        <f>1.75+2.796+1.59+48+1.02+12.75+4.458</f>
        <v>72.364</v>
      </c>
      <c r="X29" s="148">
        <f t="shared" si="1"/>
        <v>14.435</v>
      </c>
      <c r="Y29" s="148">
        <f t="shared" si="1"/>
        <v>114.374</v>
      </c>
    </row>
    <row r="30" spans="1:25" s="46" customFormat="1" ht="12.75">
      <c r="A30" s="52" t="s">
        <v>40</v>
      </c>
      <c r="B30" s="152">
        <v>0.135</v>
      </c>
      <c r="C30" s="152">
        <v>2.2</v>
      </c>
      <c r="D30" s="152">
        <v>0.25</v>
      </c>
      <c r="E30" s="152">
        <v>3</v>
      </c>
      <c r="F30" s="152">
        <v>0.1</v>
      </c>
      <c r="G30" s="152">
        <v>0.15</v>
      </c>
      <c r="H30" s="152">
        <v>0.065</v>
      </c>
      <c r="I30" s="152">
        <v>0.15</v>
      </c>
      <c r="J30" s="152">
        <v>0.135</v>
      </c>
      <c r="K30" s="152">
        <v>1</v>
      </c>
      <c r="L30" s="152">
        <v>0.68</v>
      </c>
      <c r="M30" s="152">
        <v>4</v>
      </c>
      <c r="N30" s="152">
        <v>0</v>
      </c>
      <c r="O30" s="152">
        <v>0</v>
      </c>
      <c r="P30" s="152">
        <v>1.5</v>
      </c>
      <c r="Q30" s="152">
        <v>10</v>
      </c>
      <c r="R30" s="152">
        <v>0.1</v>
      </c>
      <c r="S30" s="152">
        <v>0.4</v>
      </c>
      <c r="T30" s="152">
        <v>0.95</v>
      </c>
      <c r="U30" s="152">
        <v>6</v>
      </c>
      <c r="V30" s="152">
        <f>1.2+1+0.12+1.5+0.85+0.095+1.7</f>
        <v>6.465</v>
      </c>
      <c r="W30" s="152">
        <f>8+7+0.18+15+8.5+0.75+5+7</f>
        <v>51.43</v>
      </c>
      <c r="X30" s="148">
        <f t="shared" si="1"/>
        <v>10.379999999999999</v>
      </c>
      <c r="Y30" s="148">
        <f t="shared" si="1"/>
        <v>78.33</v>
      </c>
    </row>
    <row r="31" spans="1:25" ht="12.75">
      <c r="A31" s="61" t="s">
        <v>41</v>
      </c>
      <c r="B31" s="146">
        <v>130.018</v>
      </c>
      <c r="C31" s="146">
        <v>1965.18</v>
      </c>
      <c r="D31" s="146">
        <v>34.765</v>
      </c>
      <c r="E31" s="146">
        <v>966.21</v>
      </c>
      <c r="F31" s="146">
        <v>46.063</v>
      </c>
      <c r="G31" s="146">
        <v>663.45</v>
      </c>
      <c r="H31" s="146">
        <v>73.255</v>
      </c>
      <c r="I31" s="146">
        <v>639.85</v>
      </c>
      <c r="J31" s="146">
        <v>5.321</v>
      </c>
      <c r="K31" s="146">
        <v>46.48</v>
      </c>
      <c r="L31" s="146">
        <v>101.124</v>
      </c>
      <c r="M31" s="146">
        <v>1360.52</v>
      </c>
      <c r="N31" s="146">
        <v>31.5</v>
      </c>
      <c r="O31" s="146">
        <v>289.59</v>
      </c>
      <c r="P31" s="146">
        <v>13.25</v>
      </c>
      <c r="Q31" s="146">
        <v>174.46</v>
      </c>
      <c r="R31" s="146">
        <v>49.249</v>
      </c>
      <c r="S31" s="146">
        <v>416.97</v>
      </c>
      <c r="T31" s="146">
        <v>0</v>
      </c>
      <c r="U31" s="146">
        <v>0</v>
      </c>
      <c r="V31" s="146">
        <f>181.78+6.1+0.053</f>
        <v>187.933</v>
      </c>
      <c r="W31" s="146">
        <f>1835.69+108.3+0.7</f>
        <v>1944.69</v>
      </c>
      <c r="X31" s="148">
        <f t="shared" si="1"/>
        <v>672.4780000000001</v>
      </c>
      <c r="Y31" s="148">
        <f t="shared" si="1"/>
        <v>8467.400000000001</v>
      </c>
    </row>
    <row r="32" spans="1:25" s="46" customFormat="1" ht="12.75">
      <c r="A32" s="52" t="s">
        <v>42</v>
      </c>
      <c r="B32" s="152">
        <v>0.263</v>
      </c>
      <c r="C32" s="152">
        <v>5.96</v>
      </c>
      <c r="D32" s="152">
        <v>0</v>
      </c>
      <c r="E32" s="152">
        <v>0</v>
      </c>
      <c r="F32" s="152">
        <v>0</v>
      </c>
      <c r="G32" s="152">
        <v>0</v>
      </c>
      <c r="H32" s="152">
        <v>0.272</v>
      </c>
      <c r="I32" s="152">
        <v>2.705</v>
      </c>
      <c r="J32" s="152">
        <v>0</v>
      </c>
      <c r="K32" s="152">
        <v>0</v>
      </c>
      <c r="L32" s="152">
        <v>0.063</v>
      </c>
      <c r="M32" s="152">
        <v>0.745</v>
      </c>
      <c r="N32" s="152">
        <v>0.038</v>
      </c>
      <c r="O32" s="152">
        <v>0.335</v>
      </c>
      <c r="P32" s="152">
        <v>0</v>
      </c>
      <c r="Q32" s="152">
        <v>0</v>
      </c>
      <c r="R32" s="152">
        <v>0</v>
      </c>
      <c r="S32" s="152">
        <v>0</v>
      </c>
      <c r="T32" s="152">
        <v>0.612</v>
      </c>
      <c r="U32" s="152">
        <v>25.005</v>
      </c>
      <c r="V32" s="152">
        <f>0.136+0.159+0.109+0.373+0.122+2.304</f>
        <v>3.203</v>
      </c>
      <c r="W32" s="152">
        <f>1.465+1.235+0.66+2.73+1.645+38.525</f>
        <v>46.26</v>
      </c>
      <c r="X32" s="148">
        <f t="shared" si="1"/>
        <v>4.4510000000000005</v>
      </c>
      <c r="Y32" s="148">
        <f t="shared" si="1"/>
        <v>81.00999999999999</v>
      </c>
    </row>
    <row r="33" spans="1:26" ht="12.75">
      <c r="A33" s="61" t="s">
        <v>43</v>
      </c>
      <c r="B33" s="146">
        <v>3.111</v>
      </c>
      <c r="C33" s="146">
        <v>46.786</v>
      </c>
      <c r="D33" s="146">
        <v>4.145</v>
      </c>
      <c r="E33" s="146">
        <v>91.853</v>
      </c>
      <c r="F33" s="146">
        <v>7.901</v>
      </c>
      <c r="G33" s="146">
        <v>181.676</v>
      </c>
      <c r="H33" s="146">
        <v>2.538</v>
      </c>
      <c r="I33" s="146">
        <v>19.274</v>
      </c>
      <c r="J33" s="146">
        <v>18.488</v>
      </c>
      <c r="K33" s="146">
        <v>111.963</v>
      </c>
      <c r="L33" s="146">
        <v>6.136</v>
      </c>
      <c r="M33" s="146">
        <v>148.859</v>
      </c>
      <c r="N33" s="146">
        <v>8.119</v>
      </c>
      <c r="O33" s="146">
        <v>173.649</v>
      </c>
      <c r="P33" s="146">
        <v>81.082</v>
      </c>
      <c r="Q33" s="146">
        <v>2001.104</v>
      </c>
      <c r="R33" s="146"/>
      <c r="S33" s="146"/>
      <c r="T33" s="146"/>
      <c r="U33" s="146"/>
      <c r="V33" s="146">
        <f>2.997+10.414+3.007+0.845+11.731+15.607+2.291</f>
        <v>46.891999999999996</v>
      </c>
      <c r="W33" s="146">
        <f>44.197+17.256+58.056+55.076+167.331+287.893+5.342</f>
        <v>635.151</v>
      </c>
      <c r="X33" s="148">
        <f t="shared" si="1"/>
        <v>178.41199999999998</v>
      </c>
      <c r="Y33" s="148">
        <f t="shared" si="1"/>
        <v>3410.315</v>
      </c>
      <c r="Z33" s="154"/>
    </row>
    <row r="34" spans="1:25" ht="12.75">
      <c r="A34" s="61" t="s">
        <v>44</v>
      </c>
      <c r="B34" s="146">
        <v>5.895</v>
      </c>
      <c r="C34" s="146">
        <v>28.298</v>
      </c>
      <c r="D34" s="146">
        <v>0</v>
      </c>
      <c r="E34" s="146">
        <v>0</v>
      </c>
      <c r="F34" s="146"/>
      <c r="G34" s="146"/>
      <c r="H34" s="146">
        <v>3.451</v>
      </c>
      <c r="I34" s="146">
        <v>11.385</v>
      </c>
      <c r="J34" s="146">
        <v>12.99</v>
      </c>
      <c r="K34" s="146">
        <v>20.552</v>
      </c>
      <c r="L34" s="146">
        <v>12.616</v>
      </c>
      <c r="M34" s="146">
        <v>45.505</v>
      </c>
      <c r="N34" s="146">
        <v>41.014</v>
      </c>
      <c r="O34" s="146">
        <v>369.068</v>
      </c>
      <c r="P34" s="146">
        <v>9.085</v>
      </c>
      <c r="Q34" s="146">
        <v>92.424</v>
      </c>
      <c r="R34" s="146">
        <v>1.501</v>
      </c>
      <c r="S34" s="146">
        <v>4.687</v>
      </c>
      <c r="T34" s="146"/>
      <c r="U34" s="146"/>
      <c r="V34" s="146">
        <f>4.665+0.566+2.386+0.774+3.906+1.179+0.644+9.873+1.241+0.731+0.586+2.088+0.281+10.101</f>
        <v>39.021</v>
      </c>
      <c r="W34" s="146">
        <f>20.96+3.758+9.566+5.998+24.214+7.056+1.928+43.366+11.062+5.813+1.194+4.954+1.159+23.754</f>
        <v>164.78199999999995</v>
      </c>
      <c r="X34" s="148">
        <f t="shared" si="1"/>
        <v>125.57300000000002</v>
      </c>
      <c r="Y34" s="148">
        <f t="shared" si="1"/>
        <v>736.7009999999999</v>
      </c>
    </row>
    <row r="35" spans="1:26" ht="12.75">
      <c r="A35" s="61" t="s">
        <v>45</v>
      </c>
      <c r="B35" s="147">
        <v>0</v>
      </c>
      <c r="C35" s="147">
        <v>0</v>
      </c>
      <c r="D35" s="147"/>
      <c r="E35" s="147"/>
      <c r="F35" s="147"/>
      <c r="G35" s="147"/>
      <c r="H35" s="147"/>
      <c r="I35" s="147"/>
      <c r="J35" s="147"/>
      <c r="K35" s="147"/>
      <c r="L35" s="147">
        <v>1.123</v>
      </c>
      <c r="M35" s="147">
        <v>7.094</v>
      </c>
      <c r="N35" s="147">
        <v>0.235</v>
      </c>
      <c r="O35" s="147">
        <v>1.075</v>
      </c>
      <c r="P35" s="147">
        <v>8.071</v>
      </c>
      <c r="Q35" s="147">
        <v>35.689</v>
      </c>
      <c r="R35" s="147"/>
      <c r="S35" s="147"/>
      <c r="T35" s="147"/>
      <c r="U35" s="147"/>
      <c r="V35" s="147">
        <v>12.057</v>
      </c>
      <c r="W35" s="147">
        <v>54.181</v>
      </c>
      <c r="X35" s="148">
        <f t="shared" si="1"/>
        <v>21.486</v>
      </c>
      <c r="Y35" s="148">
        <f t="shared" si="1"/>
        <v>98.039</v>
      </c>
      <c r="Z35" s="155"/>
    </row>
    <row r="36" spans="1:25" ht="12.75">
      <c r="A36" s="61" t="s">
        <v>46</v>
      </c>
      <c r="B36" s="146">
        <v>7.166</v>
      </c>
      <c r="C36" s="146">
        <v>80.003</v>
      </c>
      <c r="D36" s="146">
        <v>2.735</v>
      </c>
      <c r="E36" s="146">
        <v>153.862</v>
      </c>
      <c r="F36" s="146">
        <v>0.756</v>
      </c>
      <c r="G36" s="146">
        <v>15.114</v>
      </c>
      <c r="H36" s="146">
        <v>4.232</v>
      </c>
      <c r="I36" s="146">
        <v>31.729</v>
      </c>
      <c r="J36" s="146"/>
      <c r="K36" s="146"/>
      <c r="L36" s="146">
        <v>26.53</v>
      </c>
      <c r="M36" s="146">
        <v>334.586</v>
      </c>
      <c r="N36" s="146">
        <v>34.991</v>
      </c>
      <c r="O36" s="146">
        <v>305.518</v>
      </c>
      <c r="P36" s="146">
        <v>6.138</v>
      </c>
      <c r="Q36" s="146">
        <v>91.588</v>
      </c>
      <c r="R36" s="146">
        <v>1.333</v>
      </c>
      <c r="S36" s="146">
        <v>22.391</v>
      </c>
      <c r="T36" s="146">
        <v>165.131</v>
      </c>
      <c r="U36" s="146">
        <v>6664.748</v>
      </c>
      <c r="V36" s="146">
        <f>1.3+5.225+1.108+1.377+1.262+0.611+0.213+0.149+1.076+0.423+0.629+4.119+0.76+8.683+0.331+0.8+1.07+4.337+0.084+3.708</f>
        <v>37.265</v>
      </c>
      <c r="W36" s="146">
        <f>38.992+78.374+27.704+17.896+29.023+9.171+2.555+2.086+12.915+7.621+4.404+61.788+2.284+434.151+6.623+8.917+17.125+130.103+2.099+100.105</f>
        <v>993.936</v>
      </c>
      <c r="X36" s="148">
        <f t="shared" si="1"/>
        <v>286.277</v>
      </c>
      <c r="Y36" s="148">
        <f t="shared" si="1"/>
        <v>8693.475</v>
      </c>
    </row>
    <row r="37" spans="1:25" ht="12.75">
      <c r="A37" s="61" t="s">
        <v>47</v>
      </c>
      <c r="B37" s="146">
        <f>1.546+1.33</f>
        <v>2.8760000000000003</v>
      </c>
      <c r="C37" s="146">
        <f>17.558+20.873</f>
        <v>38.431</v>
      </c>
      <c r="D37" s="146">
        <f>0.08+1.825</f>
        <v>1.905</v>
      </c>
      <c r="E37" s="146">
        <f>0.575+40.811</f>
        <v>41.386</v>
      </c>
      <c r="F37" s="146">
        <f>1.625+0.067</f>
        <v>1.692</v>
      </c>
      <c r="G37" s="146">
        <f>22.107+0.311</f>
        <v>22.418</v>
      </c>
      <c r="H37" s="146">
        <f>1.127</f>
        <v>1.127</v>
      </c>
      <c r="I37" s="146">
        <v>10.009</v>
      </c>
      <c r="J37" s="146"/>
      <c r="K37" s="146"/>
      <c r="L37" s="146">
        <v>1.284</v>
      </c>
      <c r="M37" s="146">
        <v>24.898</v>
      </c>
      <c r="N37" s="146"/>
      <c r="O37" s="146"/>
      <c r="P37" s="146"/>
      <c r="Q37" s="146"/>
      <c r="R37" s="146"/>
      <c r="S37" s="146"/>
      <c r="T37" s="146"/>
      <c r="U37" s="146"/>
      <c r="V37" s="146">
        <f>(12.519+13.069)-(B37+D37+F37+H37+L37)</f>
        <v>16.704</v>
      </c>
      <c r="W37" s="146">
        <f>(130.118+164.594)-(C37+E37+G37+I37+M37)</f>
        <v>157.56999999999996</v>
      </c>
      <c r="X37" s="148">
        <f t="shared" si="1"/>
        <v>25.588</v>
      </c>
      <c r="Y37" s="148">
        <f t="shared" si="1"/>
        <v>294.712</v>
      </c>
    </row>
    <row r="38" spans="1:25" ht="12.75">
      <c r="A38" s="61" t="s">
        <v>48</v>
      </c>
      <c r="B38" s="146">
        <v>2.898</v>
      </c>
      <c r="C38" s="146">
        <v>88.557</v>
      </c>
      <c r="D38" s="146">
        <v>1.824</v>
      </c>
      <c r="E38" s="146">
        <v>56.104</v>
      </c>
      <c r="F38" s="146">
        <v>8.269</v>
      </c>
      <c r="G38" s="146">
        <v>167.172</v>
      </c>
      <c r="H38" s="146">
        <v>10.055</v>
      </c>
      <c r="I38" s="146">
        <v>112.227</v>
      </c>
      <c r="J38" s="146">
        <v>159.431</v>
      </c>
      <c r="K38" s="146">
        <v>1464.811</v>
      </c>
      <c r="L38" s="146">
        <v>5.806</v>
      </c>
      <c r="M38" s="146">
        <v>232.068</v>
      </c>
      <c r="N38" s="146">
        <v>22.313</v>
      </c>
      <c r="O38" s="146">
        <v>308.035</v>
      </c>
      <c r="P38" s="146">
        <v>527.347</v>
      </c>
      <c r="Q38" s="146">
        <v>10809.926</v>
      </c>
      <c r="R38" s="146">
        <v>22.679</v>
      </c>
      <c r="S38" s="146">
        <v>273.043</v>
      </c>
      <c r="T38" s="146"/>
      <c r="U38" s="146"/>
      <c r="V38" s="146">
        <f>17.399+9.533+2.576+0.2+1.841+1.021+4.959+2.59+1.272+0.759+7.757+4.434+1.045+171.841</f>
        <v>227.227</v>
      </c>
      <c r="W38" s="146">
        <f>452.374+428.985+58.111+5.647+43.686+15.82+137.652+93.97+29.311+26.565+120.732+83.27+9.034+3932.982</f>
        <v>5438.139</v>
      </c>
      <c r="X38" s="148">
        <f t="shared" si="1"/>
        <v>987.8489999999999</v>
      </c>
      <c r="Y38" s="148">
        <f t="shared" si="1"/>
        <v>18950.082</v>
      </c>
    </row>
    <row r="39" spans="1:25" ht="12.75">
      <c r="A39" s="61" t="s">
        <v>50</v>
      </c>
      <c r="B39" s="146">
        <v>1.79</v>
      </c>
      <c r="C39" s="146">
        <v>22.02</v>
      </c>
      <c r="D39" s="146">
        <v>5.1</v>
      </c>
      <c r="E39" s="146">
        <v>65.28</v>
      </c>
      <c r="F39" s="146">
        <v>2.48</v>
      </c>
      <c r="G39" s="146">
        <v>36.406</v>
      </c>
      <c r="H39" s="146">
        <v>2.84</v>
      </c>
      <c r="I39" s="146">
        <v>24.168</v>
      </c>
      <c r="J39" s="146">
        <v>10.6</v>
      </c>
      <c r="K39" s="146">
        <v>71.125</v>
      </c>
      <c r="L39" s="146">
        <v>7.63</v>
      </c>
      <c r="M39" s="146">
        <v>92.476</v>
      </c>
      <c r="N39" s="146">
        <v>3.638</v>
      </c>
      <c r="O39" s="146">
        <v>40.49</v>
      </c>
      <c r="P39" s="146">
        <v>25.094</v>
      </c>
      <c r="Q39" s="146">
        <v>512.42</v>
      </c>
      <c r="R39" s="146"/>
      <c r="S39" s="146"/>
      <c r="T39" s="146"/>
      <c r="U39" s="146"/>
      <c r="V39" s="146">
        <f>4.32+2.28+11.25+4.796</f>
        <v>22.646</v>
      </c>
      <c r="W39" s="146">
        <f>55.34+34.58+12.43+110.815</f>
        <v>213.165</v>
      </c>
      <c r="X39" s="148">
        <f t="shared" si="1"/>
        <v>81.818</v>
      </c>
      <c r="Y39" s="148">
        <f t="shared" si="1"/>
        <v>1077.55</v>
      </c>
    </row>
    <row r="40" spans="1:25" ht="12.75">
      <c r="A40" s="61" t="s">
        <v>51</v>
      </c>
      <c r="B40" s="146">
        <v>155.315</v>
      </c>
      <c r="C40" s="146">
        <v>2758.582</v>
      </c>
      <c r="D40" s="146">
        <v>74.078</v>
      </c>
      <c r="E40" s="146">
        <v>2042.732</v>
      </c>
      <c r="F40" s="146">
        <v>68.757</v>
      </c>
      <c r="G40" s="146">
        <v>1743.823</v>
      </c>
      <c r="H40" s="146">
        <v>72.569</v>
      </c>
      <c r="I40" s="146">
        <v>830.891</v>
      </c>
      <c r="J40" s="146">
        <v>21.058</v>
      </c>
      <c r="K40" s="146">
        <v>124.652</v>
      </c>
      <c r="L40" s="146">
        <v>52.307</v>
      </c>
      <c r="M40" s="146">
        <v>999.678</v>
      </c>
      <c r="N40" s="146">
        <v>20.023</v>
      </c>
      <c r="O40" s="146">
        <v>273.761</v>
      </c>
      <c r="P40" s="146">
        <v>400.8</v>
      </c>
      <c r="Q40" s="146">
        <v>9900.8</v>
      </c>
      <c r="R40" s="146">
        <v>22.531</v>
      </c>
      <c r="S40" s="146">
        <v>231.113</v>
      </c>
      <c r="T40" s="146"/>
      <c r="U40" s="146"/>
      <c r="V40" s="146">
        <f>21.107+164.15+39.684+16.291+12.091+18.425+164.423</f>
        <v>436.171</v>
      </c>
      <c r="W40" s="146">
        <f>105.664+2040.613+461.386+224.521+171.077+286.392+508.571</f>
        <v>3798.224</v>
      </c>
      <c r="X40" s="148">
        <f t="shared" si="1"/>
        <v>1323.609</v>
      </c>
      <c r="Y40" s="148">
        <f t="shared" si="1"/>
        <v>22704.256</v>
      </c>
    </row>
    <row r="41" spans="1:25" ht="12.75">
      <c r="A41" s="61" t="s">
        <v>13</v>
      </c>
      <c r="B41" s="61">
        <f aca="true" t="shared" si="2" ref="B41:W41">SUM(B6:B40)</f>
        <v>600.3489999999999</v>
      </c>
      <c r="C41" s="61">
        <f t="shared" si="2"/>
        <v>10377.607</v>
      </c>
      <c r="D41" s="61">
        <f t="shared" si="2"/>
        <v>310.23800000000006</v>
      </c>
      <c r="E41" s="61">
        <f t="shared" si="2"/>
        <v>6869.644</v>
      </c>
      <c r="F41" s="61">
        <f t="shared" si="2"/>
        <v>348.87600000000003</v>
      </c>
      <c r="G41" s="61">
        <f t="shared" si="2"/>
        <v>6531.918</v>
      </c>
      <c r="H41" s="61">
        <f t="shared" si="2"/>
        <v>431.56800000000004</v>
      </c>
      <c r="I41" s="61">
        <f t="shared" si="2"/>
        <v>4527.856999999999</v>
      </c>
      <c r="J41" s="61">
        <f t="shared" si="2"/>
        <v>348.135</v>
      </c>
      <c r="K41" s="61">
        <f t="shared" si="2"/>
        <v>2916.4849999999997</v>
      </c>
      <c r="L41" s="61">
        <f t="shared" si="2"/>
        <v>599.105</v>
      </c>
      <c r="M41" s="61">
        <f t="shared" si="2"/>
        <v>11148.831999999999</v>
      </c>
      <c r="N41" s="61">
        <f t="shared" si="2"/>
        <v>834.2270000000001</v>
      </c>
      <c r="O41" s="61">
        <f t="shared" si="2"/>
        <v>13564.525</v>
      </c>
      <c r="P41" s="61">
        <f t="shared" si="2"/>
        <v>1828.3329999999999</v>
      </c>
      <c r="Q41" s="61">
        <f t="shared" si="2"/>
        <v>34390.894</v>
      </c>
      <c r="R41" s="61">
        <f t="shared" si="2"/>
        <v>124.30800000000002</v>
      </c>
      <c r="S41" s="61">
        <f t="shared" si="2"/>
        <v>1119.749</v>
      </c>
      <c r="T41" s="61">
        <f t="shared" si="2"/>
        <v>280.155</v>
      </c>
      <c r="U41" s="61">
        <f t="shared" si="2"/>
        <v>9622.96</v>
      </c>
      <c r="V41" s="61">
        <f t="shared" si="2"/>
        <v>2275.415</v>
      </c>
      <c r="W41" s="61">
        <f t="shared" si="2"/>
        <v>28006.308000000005</v>
      </c>
      <c r="X41" s="61">
        <f>SUM(X6:X40)</f>
        <v>7980.709000000003</v>
      </c>
      <c r="Y41" s="61">
        <f>SUM(Y6:Y40)</f>
        <v>129076.77900000001</v>
      </c>
    </row>
    <row r="42" ht="12.75">
      <c r="A42" s="157"/>
    </row>
    <row r="44" ht="12.75">
      <c r="W44" s="158"/>
    </row>
  </sheetData>
  <sheetProtection/>
  <mergeCells count="15">
    <mergeCell ref="A1:V1"/>
    <mergeCell ref="T2:V2"/>
    <mergeCell ref="T3:W3"/>
    <mergeCell ref="J4:K4"/>
    <mergeCell ref="L4:M4"/>
    <mergeCell ref="N4:O4"/>
    <mergeCell ref="P4:Q4"/>
    <mergeCell ref="B4:C4"/>
    <mergeCell ref="D4:E4"/>
    <mergeCell ref="F4:G4"/>
    <mergeCell ref="H4:I4"/>
    <mergeCell ref="R4:S4"/>
    <mergeCell ref="T4:U4"/>
    <mergeCell ref="V4:W4"/>
    <mergeCell ref="X4:Y4"/>
  </mergeCells>
  <printOptions/>
  <pageMargins left="0.21" right="0.15748031496063" top="0.86" bottom="0.748031496062992" header="0.43" footer="0.31496062992126"/>
  <pageSetup horizontalDpi="600" verticalDpi="600" orientation="landscape" scale="78" r:id="rId1"/>
  <headerFooter alignWithMargins="0">
    <oddHeader>&amp;CArea &amp; Production of Vegetables for the Year 2008-09
&amp;R&amp;"Arial,Bold"&amp;8Area '000' HA
Production '000' MT</oddHead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97"/>
  <sheetViews>
    <sheetView showZeros="0" view="pageBreakPreview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1" sqref="A1:IV3"/>
    </sheetView>
  </sheetViews>
  <sheetFormatPr defaultColWidth="9.140625" defaultRowHeight="12.75"/>
  <cols>
    <col min="1" max="1" width="22.00390625" style="131" customWidth="1"/>
    <col min="2" max="2" width="8.8515625" style="131" customWidth="1"/>
    <col min="3" max="3" width="7.57421875" style="131" customWidth="1"/>
    <col min="4" max="5" width="7.421875" style="131" customWidth="1"/>
    <col min="6" max="6" width="10.7109375" style="131" customWidth="1"/>
    <col min="7" max="7" width="7.57421875" style="131" customWidth="1"/>
    <col min="8" max="8" width="8.00390625" style="131" customWidth="1"/>
    <col min="9" max="9" width="10.140625" style="131" customWidth="1"/>
    <col min="10" max="10" width="7.28125" style="138" customWidth="1"/>
    <col min="11" max="11" width="8.8515625" style="138" customWidth="1"/>
    <col min="12" max="16384" width="9.140625" style="131" customWidth="1"/>
  </cols>
  <sheetData>
    <row r="1" spans="1:25" s="303" customFormat="1" ht="12.75">
      <c r="A1" s="301" t="s">
        <v>151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157"/>
      <c r="Y1" s="157"/>
    </row>
    <row r="2" spans="1:25" s="303" customFormat="1" ht="12.75">
      <c r="A2" s="302"/>
      <c r="B2" s="302"/>
      <c r="C2" s="302"/>
      <c r="D2" s="302"/>
      <c r="E2" s="302"/>
      <c r="F2" s="302"/>
      <c r="G2" s="302"/>
      <c r="H2" s="302" t="s">
        <v>148</v>
      </c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 t="s">
        <v>148</v>
      </c>
      <c r="U2" s="302"/>
      <c r="V2" s="302"/>
      <c r="W2" s="302"/>
      <c r="X2" s="157"/>
      <c r="Y2" s="157"/>
    </row>
    <row r="3" spans="1:25" s="303" customFormat="1" ht="12.75">
      <c r="A3" s="302"/>
      <c r="B3" s="302"/>
      <c r="C3" s="302"/>
      <c r="D3" s="302"/>
      <c r="E3" s="302"/>
      <c r="F3" s="302"/>
      <c r="G3" s="302"/>
      <c r="H3" s="302" t="s">
        <v>149</v>
      </c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 t="s">
        <v>149</v>
      </c>
      <c r="U3" s="302"/>
      <c r="V3" s="302"/>
      <c r="W3" s="302"/>
      <c r="X3" s="157"/>
      <c r="Y3" s="157"/>
    </row>
    <row r="4" spans="1:11" s="124" customFormat="1" ht="12.75">
      <c r="A4" s="123" t="s">
        <v>63</v>
      </c>
      <c r="B4" s="280" t="s">
        <v>64</v>
      </c>
      <c r="C4" s="280"/>
      <c r="D4" s="280" t="s">
        <v>65</v>
      </c>
      <c r="E4" s="280"/>
      <c r="F4" s="280" t="s">
        <v>66</v>
      </c>
      <c r="G4" s="280"/>
      <c r="H4" s="280" t="s">
        <v>67</v>
      </c>
      <c r="I4" s="280"/>
      <c r="J4" s="280" t="s">
        <v>68</v>
      </c>
      <c r="K4" s="280"/>
    </row>
    <row r="5" spans="1:11" s="127" customFormat="1" ht="12.75">
      <c r="A5" s="123"/>
      <c r="B5" s="125" t="s">
        <v>62</v>
      </c>
      <c r="C5" s="125" t="s">
        <v>15</v>
      </c>
      <c r="D5" s="125" t="s">
        <v>62</v>
      </c>
      <c r="E5" s="125" t="s">
        <v>15</v>
      </c>
      <c r="F5" s="125" t="s">
        <v>62</v>
      </c>
      <c r="G5" s="125" t="s">
        <v>15</v>
      </c>
      <c r="H5" s="125" t="s">
        <v>62</v>
      </c>
      <c r="I5" s="125" t="s">
        <v>15</v>
      </c>
      <c r="J5" s="125" t="s">
        <v>62</v>
      </c>
      <c r="K5" s="125" t="s">
        <v>15</v>
      </c>
    </row>
    <row r="6" spans="1:11" ht="12.75">
      <c r="A6" s="123"/>
      <c r="B6" s="128"/>
      <c r="C6" s="128"/>
      <c r="D6" s="128"/>
      <c r="E6" s="128"/>
      <c r="F6" s="128"/>
      <c r="G6" s="128"/>
      <c r="H6" s="128"/>
      <c r="I6" s="128"/>
      <c r="J6" s="130"/>
      <c r="K6" s="130"/>
    </row>
    <row r="7" spans="1:11" ht="12.75">
      <c r="A7" s="130" t="s">
        <v>69</v>
      </c>
      <c r="B7" s="128"/>
      <c r="C7" s="128"/>
      <c r="D7" s="132">
        <v>4.1</v>
      </c>
      <c r="E7" s="132">
        <v>6</v>
      </c>
      <c r="F7" s="132"/>
      <c r="G7" s="132"/>
      <c r="H7" s="133">
        <v>21.6</v>
      </c>
      <c r="I7" s="133">
        <v>55.47143840330351</v>
      </c>
      <c r="J7" s="135">
        <f aca="true" t="shared" si="0" ref="J7:K41">B7+D7+F7+H7</f>
        <v>25.700000000000003</v>
      </c>
      <c r="K7" s="135">
        <f t="shared" si="0"/>
        <v>61.47143840330351</v>
      </c>
    </row>
    <row r="8" spans="1:11" ht="12.75">
      <c r="A8" s="130" t="s">
        <v>17</v>
      </c>
      <c r="B8" s="128">
        <v>182</v>
      </c>
      <c r="C8" s="128">
        <v>112</v>
      </c>
      <c r="D8" s="128">
        <v>0.25</v>
      </c>
      <c r="E8" s="128">
        <v>0.19</v>
      </c>
      <c r="F8" s="128">
        <v>14.061</v>
      </c>
      <c r="G8" s="128">
        <v>2.6</v>
      </c>
      <c r="H8" s="136">
        <v>101.32</v>
      </c>
      <c r="I8" s="136">
        <v>770.2684101858224</v>
      </c>
      <c r="J8" s="130">
        <f t="shared" si="0"/>
        <v>297.631</v>
      </c>
      <c r="K8" s="130">
        <f t="shared" si="0"/>
        <v>885.0584101858224</v>
      </c>
    </row>
    <row r="9" spans="1:11" ht="12.75">
      <c r="A9" s="130" t="s">
        <v>18</v>
      </c>
      <c r="B9" s="128"/>
      <c r="C9" s="128"/>
      <c r="D9" s="128"/>
      <c r="E9" s="128"/>
      <c r="F9" s="128"/>
      <c r="G9" s="128"/>
      <c r="H9" s="136"/>
      <c r="I9" s="136"/>
      <c r="J9" s="130">
        <f t="shared" si="0"/>
        <v>0</v>
      </c>
      <c r="K9" s="130">
        <f t="shared" si="0"/>
        <v>0</v>
      </c>
    </row>
    <row r="10" spans="1:11" ht="12.75">
      <c r="A10" s="130" t="s">
        <v>19</v>
      </c>
      <c r="B10" s="128">
        <v>18</v>
      </c>
      <c r="C10" s="128">
        <v>13</v>
      </c>
      <c r="D10" s="128">
        <v>69.97</v>
      </c>
      <c r="E10" s="128">
        <v>62.7</v>
      </c>
      <c r="F10" s="128"/>
      <c r="G10" s="128"/>
      <c r="H10" s="136">
        <v>19</v>
      </c>
      <c r="I10" s="136">
        <v>93.59944941500343</v>
      </c>
      <c r="J10" s="130">
        <f t="shared" si="0"/>
        <v>106.97</v>
      </c>
      <c r="K10" s="130">
        <f t="shared" si="0"/>
        <v>169.29944941500344</v>
      </c>
    </row>
    <row r="11" spans="1:11" ht="12.75">
      <c r="A11" s="130" t="s">
        <v>20</v>
      </c>
      <c r="B11" s="128"/>
      <c r="C11" s="128"/>
      <c r="D11" s="128"/>
      <c r="E11" s="128"/>
      <c r="F11" s="128"/>
      <c r="G11" s="128"/>
      <c r="H11" s="136"/>
      <c r="I11" s="136"/>
      <c r="J11" s="130">
        <f t="shared" si="0"/>
        <v>0</v>
      </c>
      <c r="K11" s="130">
        <f t="shared" si="0"/>
        <v>0</v>
      </c>
    </row>
    <row r="12" spans="1:11" ht="12.75">
      <c r="A12" s="130" t="s">
        <v>21</v>
      </c>
      <c r="B12" s="128"/>
      <c r="C12" s="128"/>
      <c r="D12" s="128"/>
      <c r="E12" s="128"/>
      <c r="F12" s="128"/>
      <c r="G12" s="128"/>
      <c r="H12" s="136"/>
      <c r="I12" s="136"/>
      <c r="J12" s="130">
        <f t="shared" si="0"/>
        <v>0</v>
      </c>
      <c r="K12" s="130">
        <f t="shared" si="0"/>
        <v>0</v>
      </c>
    </row>
    <row r="13" spans="1:11" ht="12.75">
      <c r="A13" s="130" t="s">
        <v>70</v>
      </c>
      <c r="B13" s="128"/>
      <c r="C13" s="128"/>
      <c r="D13" s="128"/>
      <c r="E13" s="128"/>
      <c r="F13" s="128"/>
      <c r="G13" s="128"/>
      <c r="H13" s="136"/>
      <c r="I13" s="136"/>
      <c r="J13" s="130">
        <f t="shared" si="0"/>
        <v>0</v>
      </c>
      <c r="K13" s="130">
        <f t="shared" si="0"/>
        <v>0</v>
      </c>
    </row>
    <row r="14" spans="1:11" ht="12.75">
      <c r="A14" s="130" t="s">
        <v>23</v>
      </c>
      <c r="B14" s="128"/>
      <c r="C14" s="128"/>
      <c r="D14" s="128"/>
      <c r="E14" s="128"/>
      <c r="F14" s="128"/>
      <c r="G14" s="128"/>
      <c r="H14" s="136"/>
      <c r="I14" s="136"/>
      <c r="J14" s="130">
        <f t="shared" si="0"/>
        <v>0</v>
      </c>
      <c r="K14" s="130">
        <f t="shared" si="0"/>
        <v>0</v>
      </c>
    </row>
    <row r="15" spans="1:11" ht="12.75">
      <c r="A15" s="130" t="s">
        <v>24</v>
      </c>
      <c r="B15" s="128"/>
      <c r="C15" s="128"/>
      <c r="D15" s="128"/>
      <c r="E15" s="128"/>
      <c r="F15" s="128"/>
      <c r="G15" s="128"/>
      <c r="H15" s="136"/>
      <c r="I15" s="136"/>
      <c r="J15" s="130">
        <f t="shared" si="0"/>
        <v>0</v>
      </c>
      <c r="K15" s="130">
        <f t="shared" si="0"/>
        <v>0</v>
      </c>
    </row>
    <row r="16" spans="1:11" ht="12.75">
      <c r="A16" s="130" t="s">
        <v>25</v>
      </c>
      <c r="B16" s="128"/>
      <c r="C16" s="128"/>
      <c r="D16" s="128"/>
      <c r="E16" s="128"/>
      <c r="F16" s="128"/>
      <c r="G16" s="128"/>
      <c r="H16" s="136"/>
      <c r="I16" s="136"/>
      <c r="J16" s="130">
        <f t="shared" si="0"/>
        <v>0</v>
      </c>
      <c r="K16" s="130">
        <f t="shared" si="0"/>
        <v>0</v>
      </c>
    </row>
    <row r="17" spans="1:11" ht="12.75">
      <c r="A17" s="130" t="s">
        <v>26</v>
      </c>
      <c r="B17" s="128">
        <v>55</v>
      </c>
      <c r="C17" s="128">
        <v>30</v>
      </c>
      <c r="D17" s="128">
        <v>1.85</v>
      </c>
      <c r="E17" s="128">
        <v>2.78</v>
      </c>
      <c r="F17" s="128"/>
      <c r="G17" s="128"/>
      <c r="H17" s="136">
        <v>25.5</v>
      </c>
      <c r="I17" s="136">
        <v>87.81830695113558</v>
      </c>
      <c r="J17" s="130">
        <f t="shared" si="0"/>
        <v>82.35</v>
      </c>
      <c r="K17" s="130">
        <f t="shared" si="0"/>
        <v>120.59830695113558</v>
      </c>
    </row>
    <row r="18" spans="1:11" ht="12.75">
      <c r="A18" s="130" t="s">
        <v>27</v>
      </c>
      <c r="B18" s="128">
        <v>6</v>
      </c>
      <c r="C18" s="128">
        <v>4</v>
      </c>
      <c r="D18" s="128"/>
      <c r="E18" s="128"/>
      <c r="F18" s="128"/>
      <c r="G18" s="128"/>
      <c r="H18" s="136">
        <v>16.4</v>
      </c>
      <c r="I18" s="136">
        <v>95.18238128011012</v>
      </c>
      <c r="J18" s="130">
        <f t="shared" si="0"/>
        <v>22.4</v>
      </c>
      <c r="K18" s="130">
        <f t="shared" si="0"/>
        <v>99.18238128011012</v>
      </c>
    </row>
    <row r="19" spans="1:11" ht="12.75">
      <c r="A19" s="130" t="s">
        <v>28</v>
      </c>
      <c r="B19" s="128"/>
      <c r="C19" s="128"/>
      <c r="D19" s="128"/>
      <c r="E19" s="128"/>
      <c r="F19" s="128"/>
      <c r="G19" s="128"/>
      <c r="H19" s="136"/>
      <c r="I19" s="136"/>
      <c r="J19" s="130">
        <f t="shared" si="0"/>
        <v>0</v>
      </c>
      <c r="K19" s="130">
        <f t="shared" si="0"/>
        <v>0</v>
      </c>
    </row>
    <row r="20" spans="1:11" ht="12.75">
      <c r="A20" s="130" t="s">
        <v>29</v>
      </c>
      <c r="B20" s="128"/>
      <c r="C20" s="128"/>
      <c r="D20" s="128"/>
      <c r="E20" s="128"/>
      <c r="F20" s="128"/>
      <c r="G20" s="128"/>
      <c r="H20" s="136"/>
      <c r="I20" s="136"/>
      <c r="J20" s="130">
        <f t="shared" si="0"/>
        <v>0</v>
      </c>
      <c r="K20" s="130">
        <f t="shared" si="0"/>
        <v>0</v>
      </c>
    </row>
    <row r="21" spans="1:11" ht="12.75">
      <c r="A21" s="130" t="s">
        <v>30</v>
      </c>
      <c r="B21" s="128"/>
      <c r="C21" s="128"/>
      <c r="D21" s="128"/>
      <c r="E21" s="128"/>
      <c r="F21" s="128"/>
      <c r="G21" s="128"/>
      <c r="H21" s="136"/>
      <c r="I21" s="136"/>
      <c r="J21" s="130">
        <f t="shared" si="0"/>
        <v>0</v>
      </c>
      <c r="K21" s="130">
        <f t="shared" si="0"/>
        <v>0</v>
      </c>
    </row>
    <row r="22" spans="1:11" ht="12.75">
      <c r="A22" s="130" t="s">
        <v>31</v>
      </c>
      <c r="B22" s="128"/>
      <c r="C22" s="128"/>
      <c r="D22" s="128"/>
      <c r="E22" s="128"/>
      <c r="F22" s="128"/>
      <c r="G22" s="128"/>
      <c r="H22" s="136"/>
      <c r="I22" s="136"/>
      <c r="J22" s="130">
        <f t="shared" si="0"/>
        <v>0</v>
      </c>
      <c r="K22" s="130">
        <f t="shared" si="0"/>
        <v>0</v>
      </c>
    </row>
    <row r="23" spans="1:11" ht="12.75">
      <c r="A23" s="130" t="s">
        <v>32</v>
      </c>
      <c r="B23" s="128">
        <v>107</v>
      </c>
      <c r="C23" s="128">
        <v>60</v>
      </c>
      <c r="D23" s="128">
        <v>168</v>
      </c>
      <c r="E23" s="128">
        <v>224</v>
      </c>
      <c r="F23" s="128">
        <v>7.2</v>
      </c>
      <c r="G23" s="128">
        <v>2.87</v>
      </c>
      <c r="H23" s="136">
        <v>405</v>
      </c>
      <c r="I23" s="136">
        <v>1125.9463179628356</v>
      </c>
      <c r="J23" s="130">
        <f t="shared" si="0"/>
        <v>687.2</v>
      </c>
      <c r="K23" s="130">
        <f t="shared" si="0"/>
        <v>1412.8163179628355</v>
      </c>
    </row>
    <row r="24" spans="1:11" ht="12.75">
      <c r="A24" s="130" t="s">
        <v>33</v>
      </c>
      <c r="B24" s="128">
        <v>70</v>
      </c>
      <c r="C24" s="128">
        <v>75</v>
      </c>
      <c r="D24" s="128">
        <v>101.71</v>
      </c>
      <c r="E24" s="128">
        <v>116.89</v>
      </c>
      <c r="F24" s="128">
        <v>10.708</v>
      </c>
      <c r="G24" s="128">
        <v>6.1</v>
      </c>
      <c r="H24" s="136">
        <v>818.8</v>
      </c>
      <c r="I24" s="136">
        <v>3882.312456985547</v>
      </c>
      <c r="J24" s="130">
        <f t="shared" si="0"/>
        <v>1001.218</v>
      </c>
      <c r="K24" s="130">
        <f t="shared" si="0"/>
        <v>4080.302456985547</v>
      </c>
    </row>
    <row r="25" spans="1:11" ht="12.75">
      <c r="A25" s="130" t="s">
        <v>71</v>
      </c>
      <c r="B25" s="132"/>
      <c r="C25" s="132"/>
      <c r="D25" s="132"/>
      <c r="E25" s="132"/>
      <c r="F25" s="132"/>
      <c r="G25" s="132"/>
      <c r="H25" s="133">
        <v>2.7</v>
      </c>
      <c r="I25" s="133">
        <v>36.4762560220234</v>
      </c>
      <c r="J25" s="135">
        <f t="shared" si="0"/>
        <v>2.7</v>
      </c>
      <c r="K25" s="135">
        <f t="shared" si="0"/>
        <v>36.4762560220234</v>
      </c>
    </row>
    <row r="26" spans="1:11" ht="12.75">
      <c r="A26" s="130" t="s">
        <v>35</v>
      </c>
      <c r="B26" s="128"/>
      <c r="C26" s="128"/>
      <c r="D26" s="128"/>
      <c r="E26" s="128"/>
      <c r="F26" s="128"/>
      <c r="G26" s="128"/>
      <c r="H26" s="136"/>
      <c r="I26" s="136"/>
      <c r="J26" s="130">
        <f t="shared" si="0"/>
        <v>0</v>
      </c>
      <c r="K26" s="130">
        <f t="shared" si="0"/>
        <v>0</v>
      </c>
    </row>
    <row r="27" spans="1:11" ht="12.75">
      <c r="A27" s="130" t="s">
        <v>36</v>
      </c>
      <c r="B27" s="128">
        <v>170</v>
      </c>
      <c r="C27" s="128">
        <v>225</v>
      </c>
      <c r="D27" s="128">
        <v>2.2</v>
      </c>
      <c r="E27" s="128">
        <v>3.58</v>
      </c>
      <c r="F27" s="128"/>
      <c r="G27" s="128"/>
      <c r="H27" s="136">
        <v>21</v>
      </c>
      <c r="I27" s="136">
        <v>120.50929112181693</v>
      </c>
      <c r="J27" s="130">
        <f t="shared" si="0"/>
        <v>193.2</v>
      </c>
      <c r="K27" s="130">
        <f t="shared" si="0"/>
        <v>349.0892911218169</v>
      </c>
    </row>
    <row r="28" spans="1:11" ht="12.75">
      <c r="A28" s="130" t="s">
        <v>37</v>
      </c>
      <c r="B28" s="128"/>
      <c r="C28" s="128"/>
      <c r="D28" s="128"/>
      <c r="E28" s="128"/>
      <c r="F28" s="128"/>
      <c r="G28" s="128"/>
      <c r="H28" s="136"/>
      <c r="I28" s="136"/>
      <c r="J28" s="130">
        <f t="shared" si="0"/>
        <v>0</v>
      </c>
      <c r="K28" s="130">
        <f t="shared" si="0"/>
        <v>0</v>
      </c>
    </row>
    <row r="29" spans="1:11" ht="12.75">
      <c r="A29" s="130" t="s">
        <v>38</v>
      </c>
      <c r="B29" s="132"/>
      <c r="C29" s="132"/>
      <c r="D29" s="132">
        <v>12.36</v>
      </c>
      <c r="E29" s="132">
        <v>17.1</v>
      </c>
      <c r="F29" s="132"/>
      <c r="G29" s="132"/>
      <c r="H29" s="133"/>
      <c r="I29" s="133"/>
      <c r="J29" s="135">
        <f t="shared" si="0"/>
        <v>12.36</v>
      </c>
      <c r="K29" s="135">
        <f t="shared" si="0"/>
        <v>17.1</v>
      </c>
    </row>
    <row r="30" spans="1:11" ht="12.75">
      <c r="A30" s="130" t="s">
        <v>39</v>
      </c>
      <c r="B30" s="132"/>
      <c r="C30" s="132"/>
      <c r="D30" s="132">
        <v>6.58</v>
      </c>
      <c r="E30" s="132">
        <v>8.21</v>
      </c>
      <c r="F30" s="132"/>
      <c r="G30" s="132"/>
      <c r="H30" s="133"/>
      <c r="I30" s="133"/>
      <c r="J30" s="135">
        <f t="shared" si="0"/>
        <v>6.58</v>
      </c>
      <c r="K30" s="135">
        <f t="shared" si="0"/>
        <v>8.21</v>
      </c>
    </row>
    <row r="31" spans="1:11" ht="12.75">
      <c r="A31" s="130" t="s">
        <v>40</v>
      </c>
      <c r="B31" s="132"/>
      <c r="C31" s="132"/>
      <c r="D31" s="132">
        <v>0.2</v>
      </c>
      <c r="E31" s="132">
        <v>1.3</v>
      </c>
      <c r="F31" s="132"/>
      <c r="G31" s="132"/>
      <c r="H31" s="133">
        <v>0.9</v>
      </c>
      <c r="I31" s="133">
        <v>0.13764624913971094</v>
      </c>
      <c r="J31" s="135">
        <f t="shared" si="0"/>
        <v>1.1</v>
      </c>
      <c r="K31" s="135">
        <f t="shared" si="0"/>
        <v>1.437646249139711</v>
      </c>
    </row>
    <row r="32" spans="1:11" ht="12.75">
      <c r="A32" s="130" t="s">
        <v>72</v>
      </c>
      <c r="B32" s="128">
        <v>137</v>
      </c>
      <c r="C32" s="128">
        <v>95</v>
      </c>
      <c r="D32" s="128"/>
      <c r="E32" s="128"/>
      <c r="F32" s="128"/>
      <c r="G32" s="128"/>
      <c r="H32" s="136">
        <v>51</v>
      </c>
      <c r="I32" s="136">
        <v>189.8141775636614</v>
      </c>
      <c r="J32" s="130">
        <f t="shared" si="0"/>
        <v>188</v>
      </c>
      <c r="K32" s="130">
        <f t="shared" si="0"/>
        <v>284.81417756366136</v>
      </c>
    </row>
    <row r="33" spans="1:11" ht="12.75">
      <c r="A33" s="130" t="s">
        <v>42</v>
      </c>
      <c r="B33" s="132">
        <v>6</v>
      </c>
      <c r="C33" s="132">
        <v>2</v>
      </c>
      <c r="D33" s="132">
        <v>0.06</v>
      </c>
      <c r="E33" s="132">
        <v>0.08</v>
      </c>
      <c r="F33" s="132"/>
      <c r="G33" s="132"/>
      <c r="H33" s="133">
        <v>2.2</v>
      </c>
      <c r="I33" s="133">
        <v>18.306951135581556</v>
      </c>
      <c r="J33" s="135">
        <f t="shared" si="0"/>
        <v>8.26</v>
      </c>
      <c r="K33" s="135">
        <f t="shared" si="0"/>
        <v>20.386951135581555</v>
      </c>
    </row>
    <row r="34" spans="1:11" ht="12.75">
      <c r="A34" s="130" t="s">
        <v>43</v>
      </c>
      <c r="B34" s="128"/>
      <c r="C34" s="128"/>
      <c r="D34" s="128"/>
      <c r="E34" s="128"/>
      <c r="F34" s="128"/>
      <c r="G34" s="128"/>
      <c r="H34" s="136"/>
      <c r="I34" s="136"/>
      <c r="J34" s="130">
        <f t="shared" si="0"/>
        <v>0</v>
      </c>
      <c r="K34" s="130">
        <f t="shared" si="0"/>
        <v>0</v>
      </c>
    </row>
    <row r="35" spans="1:11" ht="12.75">
      <c r="A35" s="130" t="s">
        <v>44</v>
      </c>
      <c r="B35" s="128"/>
      <c r="C35" s="128"/>
      <c r="D35" s="128"/>
      <c r="E35" s="128"/>
      <c r="F35" s="128"/>
      <c r="G35" s="128"/>
      <c r="H35" s="136"/>
      <c r="I35" s="136"/>
      <c r="J35" s="130">
        <f t="shared" si="0"/>
        <v>0</v>
      </c>
      <c r="K35" s="130">
        <f t="shared" si="0"/>
        <v>0</v>
      </c>
    </row>
    <row r="36" spans="1:11" ht="12.75">
      <c r="A36" s="130" t="s">
        <v>45</v>
      </c>
      <c r="B36" s="128"/>
      <c r="C36" s="128"/>
      <c r="D36" s="128"/>
      <c r="E36" s="128"/>
      <c r="F36" s="128"/>
      <c r="G36" s="128"/>
      <c r="H36" s="136"/>
      <c r="I36" s="136"/>
      <c r="J36" s="130">
        <f t="shared" si="0"/>
        <v>0</v>
      </c>
      <c r="K36" s="130">
        <f t="shared" si="0"/>
        <v>0</v>
      </c>
    </row>
    <row r="37" spans="1:11" ht="12.75">
      <c r="A37" s="130" t="s">
        <v>73</v>
      </c>
      <c r="B37" s="128">
        <v>131</v>
      </c>
      <c r="C37" s="128">
        <v>68</v>
      </c>
      <c r="D37" s="128">
        <v>5.03</v>
      </c>
      <c r="E37" s="128">
        <v>10.39</v>
      </c>
      <c r="F37" s="128">
        <v>2.08</v>
      </c>
      <c r="G37" s="128">
        <v>0.23</v>
      </c>
      <c r="H37" s="136">
        <v>383.37</v>
      </c>
      <c r="I37" s="136">
        <v>3419.2704748795595</v>
      </c>
      <c r="J37" s="130">
        <f t="shared" si="0"/>
        <v>521.48</v>
      </c>
      <c r="K37" s="130">
        <f t="shared" si="0"/>
        <v>3497.8904748795594</v>
      </c>
    </row>
    <row r="38" spans="1:11" ht="12.75">
      <c r="A38" s="130" t="s">
        <v>47</v>
      </c>
      <c r="B38" s="132"/>
      <c r="C38" s="132"/>
      <c r="D38" s="132">
        <v>3.4</v>
      </c>
      <c r="E38" s="132">
        <v>6.9</v>
      </c>
      <c r="F38" s="132"/>
      <c r="G38" s="132"/>
      <c r="H38" s="133">
        <v>5.8</v>
      </c>
      <c r="I38" s="133">
        <v>7.845836200963523</v>
      </c>
      <c r="J38" s="135">
        <f t="shared" si="0"/>
        <v>9.2</v>
      </c>
      <c r="K38" s="135">
        <f t="shared" si="0"/>
        <v>14.745836200963524</v>
      </c>
    </row>
    <row r="39" spans="1:11" ht="12.75">
      <c r="A39" s="130" t="s">
        <v>48</v>
      </c>
      <c r="B39" s="128"/>
      <c r="C39" s="128"/>
      <c r="D39" s="128"/>
      <c r="E39" s="128"/>
      <c r="F39" s="128"/>
      <c r="G39" s="128"/>
      <c r="H39" s="136"/>
      <c r="I39" s="136"/>
      <c r="J39" s="130">
        <f t="shared" si="0"/>
        <v>0</v>
      </c>
      <c r="K39" s="130">
        <f t="shared" si="0"/>
        <v>0</v>
      </c>
    </row>
    <row r="40" spans="1:11" ht="12.75">
      <c r="A40" s="130" t="s">
        <v>50</v>
      </c>
      <c r="B40" s="128"/>
      <c r="C40" s="128"/>
      <c r="D40" s="128"/>
      <c r="E40" s="128"/>
      <c r="F40" s="128"/>
      <c r="G40" s="128"/>
      <c r="H40" s="136"/>
      <c r="I40" s="136"/>
      <c r="J40" s="130">
        <f t="shared" si="0"/>
        <v>0</v>
      </c>
      <c r="K40" s="130">
        <f t="shared" si="0"/>
        <v>0</v>
      </c>
    </row>
    <row r="41" spans="1:11" ht="12.75">
      <c r="A41" s="130" t="s">
        <v>51</v>
      </c>
      <c r="B41" s="128">
        <v>11</v>
      </c>
      <c r="C41" s="128">
        <v>11</v>
      </c>
      <c r="D41" s="128">
        <v>11.39</v>
      </c>
      <c r="E41" s="128">
        <v>21.16</v>
      </c>
      <c r="F41" s="128"/>
      <c r="G41" s="128"/>
      <c r="H41" s="136">
        <v>28.6</v>
      </c>
      <c r="I41" s="136">
        <v>245.35443909153474</v>
      </c>
      <c r="J41" s="130">
        <f t="shared" si="0"/>
        <v>50.99</v>
      </c>
      <c r="K41" s="130">
        <f t="shared" si="0"/>
        <v>277.51443909153477</v>
      </c>
    </row>
    <row r="42" spans="1:11" s="138" customFormat="1" ht="12.75">
      <c r="A42" s="130" t="s">
        <v>13</v>
      </c>
      <c r="B42" s="130">
        <f>SUM(B7:B41)</f>
        <v>893</v>
      </c>
      <c r="C42" s="130">
        <f aca="true" t="shared" si="1" ref="C42:K42">SUM(C7:C41)</f>
        <v>695</v>
      </c>
      <c r="D42" s="130">
        <f t="shared" si="1"/>
        <v>387.0999999999999</v>
      </c>
      <c r="E42" s="130">
        <f t="shared" si="1"/>
        <v>481.28</v>
      </c>
      <c r="F42" s="130">
        <f t="shared" si="1"/>
        <v>34.049</v>
      </c>
      <c r="G42" s="130">
        <f t="shared" si="1"/>
        <v>11.8</v>
      </c>
      <c r="H42" s="130">
        <v>1903.1899999999998</v>
      </c>
      <c r="I42" s="130">
        <v>10148.313833448037</v>
      </c>
      <c r="J42" s="130">
        <f t="shared" si="1"/>
        <v>3217.3389999999995</v>
      </c>
      <c r="K42" s="130">
        <f t="shared" si="1"/>
        <v>11336.393833448037</v>
      </c>
    </row>
    <row r="43" spans="1:11" ht="12.75">
      <c r="A43" s="139"/>
      <c r="B43" s="139"/>
      <c r="C43" s="139"/>
      <c r="D43" s="139"/>
      <c r="E43" s="139"/>
      <c r="F43" s="139"/>
      <c r="G43" s="139"/>
      <c r="H43" s="139"/>
      <c r="I43" s="139"/>
      <c r="J43" s="130"/>
      <c r="K43" s="130"/>
    </row>
    <row r="44" spans="1:11" ht="12.75">
      <c r="A44" s="139"/>
      <c r="B44" s="139"/>
      <c r="C44" s="139"/>
      <c r="D44" s="139"/>
      <c r="E44" s="139"/>
      <c r="F44" s="139"/>
      <c r="G44" s="139"/>
      <c r="H44" s="139"/>
      <c r="I44" s="139"/>
      <c r="J44" s="141"/>
      <c r="K44" s="141"/>
    </row>
    <row r="45" spans="1:11" ht="12.75">
      <c r="A45" s="139"/>
      <c r="B45" s="139"/>
      <c r="C45" s="139"/>
      <c r="D45" s="139"/>
      <c r="E45" s="139"/>
      <c r="F45" s="139"/>
      <c r="G45" s="139"/>
      <c r="H45" s="139"/>
      <c r="I45" s="139"/>
      <c r="J45" s="141"/>
      <c r="K45" s="141"/>
    </row>
    <row r="46" spans="1:11" ht="12.75">
      <c r="A46" s="139"/>
      <c r="B46" s="139"/>
      <c r="C46" s="139"/>
      <c r="D46" s="139"/>
      <c r="E46" s="139"/>
      <c r="F46" s="139"/>
      <c r="G46" s="139"/>
      <c r="H46" s="139"/>
      <c r="I46" s="139"/>
      <c r="J46" s="141"/>
      <c r="K46" s="141"/>
    </row>
    <row r="47" spans="1:11" ht="12.75">
      <c r="A47" s="139"/>
      <c r="B47" s="139"/>
      <c r="C47" s="139"/>
      <c r="D47" s="139"/>
      <c r="E47" s="139"/>
      <c r="F47" s="139"/>
      <c r="G47" s="139"/>
      <c r="H47" s="139"/>
      <c r="I47" s="139"/>
      <c r="J47" s="141"/>
      <c r="K47" s="141"/>
    </row>
    <row r="48" spans="1:11" ht="12.75">
      <c r="A48" s="139"/>
      <c r="B48" s="139"/>
      <c r="C48" s="139"/>
      <c r="D48" s="139"/>
      <c r="E48" s="139"/>
      <c r="F48" s="139"/>
      <c r="G48" s="139"/>
      <c r="H48" s="139"/>
      <c r="I48" s="139"/>
      <c r="J48" s="141"/>
      <c r="K48" s="141"/>
    </row>
    <row r="49" spans="1:11" ht="12.75">
      <c r="A49" s="139"/>
      <c r="B49" s="139"/>
      <c r="C49" s="139"/>
      <c r="D49" s="139"/>
      <c r="E49" s="139"/>
      <c r="F49" s="139"/>
      <c r="G49" s="139"/>
      <c r="H49" s="139"/>
      <c r="I49" s="139"/>
      <c r="J49" s="141"/>
      <c r="K49" s="141"/>
    </row>
    <row r="62" ht="12.75">
      <c r="C62" s="142"/>
    </row>
    <row r="63" ht="12.75">
      <c r="C63" s="142"/>
    </row>
    <row r="64" ht="12.75">
      <c r="C64" s="142"/>
    </row>
    <row r="65" ht="12.75">
      <c r="C65" s="142"/>
    </row>
    <row r="66" ht="12.75">
      <c r="C66" s="142"/>
    </row>
    <row r="67" ht="12.75">
      <c r="C67" s="142"/>
    </row>
    <row r="68" ht="12.75">
      <c r="C68" s="142"/>
    </row>
    <row r="69" ht="12.75">
      <c r="C69" s="142"/>
    </row>
    <row r="70" ht="12.75">
      <c r="C70" s="142"/>
    </row>
    <row r="71" ht="12.75">
      <c r="C71" s="142"/>
    </row>
    <row r="72" ht="12.75">
      <c r="C72" s="142"/>
    </row>
    <row r="73" ht="12.75">
      <c r="C73" s="142"/>
    </row>
    <row r="74" ht="12.75">
      <c r="C74" s="142"/>
    </row>
    <row r="75" ht="12.75">
      <c r="C75" s="142"/>
    </row>
    <row r="76" ht="12.75">
      <c r="C76" s="142"/>
    </row>
    <row r="77" ht="12.75">
      <c r="C77" s="142"/>
    </row>
    <row r="78" ht="12.75">
      <c r="C78" s="142"/>
    </row>
    <row r="79" ht="12.75">
      <c r="C79" s="142"/>
    </row>
    <row r="80" ht="12.75">
      <c r="C80" s="142"/>
    </row>
    <row r="81" ht="12.75">
      <c r="C81" s="142"/>
    </row>
    <row r="82" ht="12.75">
      <c r="C82" s="142"/>
    </row>
    <row r="83" ht="12.75">
      <c r="C83" s="142"/>
    </row>
    <row r="84" ht="12.75">
      <c r="C84" s="142"/>
    </row>
    <row r="85" ht="12.75">
      <c r="C85" s="142"/>
    </row>
    <row r="86" ht="12.75">
      <c r="C86" s="142"/>
    </row>
    <row r="87" ht="12.75">
      <c r="C87" s="142"/>
    </row>
    <row r="88" ht="12.75">
      <c r="C88" s="142"/>
    </row>
    <row r="89" ht="12.75">
      <c r="C89" s="142"/>
    </row>
    <row r="90" ht="12.75">
      <c r="C90" s="142"/>
    </row>
    <row r="91" ht="12.75">
      <c r="C91" s="142"/>
    </row>
    <row r="92" ht="12.75">
      <c r="C92" s="142"/>
    </row>
    <row r="93" ht="12.75">
      <c r="C93" s="142"/>
    </row>
    <row r="94" ht="12.75">
      <c r="C94" s="142"/>
    </row>
    <row r="95" ht="12.75">
      <c r="C95" s="142"/>
    </row>
    <row r="96" ht="12.75">
      <c r="C96" s="142"/>
    </row>
    <row r="97" ht="12.75">
      <c r="C97" s="142"/>
    </row>
  </sheetData>
  <sheetProtection/>
  <mergeCells count="6">
    <mergeCell ref="A1:K1"/>
    <mergeCell ref="J4:K4"/>
    <mergeCell ref="B4:C4"/>
    <mergeCell ref="D4:E4"/>
    <mergeCell ref="F4:G4"/>
    <mergeCell ref="H4:I4"/>
  </mergeCells>
  <printOptions/>
  <pageMargins left="1.35" right="0.7" top="0.73" bottom="0.62" header="0.37" footer="0.31"/>
  <pageSetup horizontalDpi="600" verticalDpi="600" orientation="landscape" scale="98" r:id="rId1"/>
  <headerFooter alignWithMargins="0">
    <oddHeader>&amp;CArea &amp; Production of Plantations for the Year 2008-09&amp;R&amp;"Arial,Bold"&amp;8Area in '000' HA
Prodcution in '000' MT</oddHeader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SheetLayoutView="100" zoomScalePageLayoutView="0" workbookViewId="0" topLeftCell="A1">
      <selection activeCell="A1" sqref="A1:IV3"/>
    </sheetView>
  </sheetViews>
  <sheetFormatPr defaultColWidth="9.140625" defaultRowHeight="12.75"/>
  <cols>
    <col min="1" max="1" width="20.28125" style="207" customWidth="1"/>
    <col min="2" max="2" width="7.28125" style="204" customWidth="1"/>
    <col min="3" max="3" width="7.8515625" style="204" customWidth="1"/>
    <col min="4" max="4" width="6.28125" style="204" customWidth="1"/>
    <col min="5" max="5" width="8.421875" style="204" customWidth="1"/>
    <col min="6" max="6" width="6.421875" style="204" customWidth="1"/>
    <col min="7" max="7" width="7.421875" style="204" bestFit="1" customWidth="1"/>
    <col min="8" max="8" width="8.00390625" style="204" customWidth="1"/>
    <col min="9" max="9" width="5.8515625" style="204" customWidth="1"/>
    <col min="10" max="10" width="5.140625" style="204" customWidth="1"/>
    <col min="11" max="11" width="5.8515625" style="203" customWidth="1"/>
    <col min="12" max="12" width="5.7109375" style="203" customWidth="1"/>
    <col min="13" max="13" width="6.57421875" style="185" customWidth="1"/>
    <col min="14" max="14" width="7.140625" style="185" customWidth="1"/>
    <col min="15" max="15" width="7.421875" style="204" customWidth="1"/>
    <col min="16" max="16" width="7.57421875" style="204" customWidth="1"/>
    <col min="17" max="18" width="8.140625" style="204" hidden="1" customWidth="1"/>
    <col min="19" max="19" width="8.00390625" style="204" customWidth="1"/>
    <col min="20" max="20" width="6.8515625" style="204" customWidth="1"/>
    <col min="21" max="21" width="9.57421875" style="207" customWidth="1"/>
    <col min="22" max="22" width="8.8515625" style="207" customWidth="1"/>
    <col min="23" max="16384" width="9.140625" style="185" customWidth="1"/>
  </cols>
  <sheetData>
    <row r="1" spans="1:22" s="241" customFormat="1" ht="12">
      <c r="A1" s="298" t="s">
        <v>152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</row>
    <row r="2" spans="1:22" s="241" customFormat="1" ht="12">
      <c r="A2" s="261"/>
      <c r="B2" s="242"/>
      <c r="C2" s="242"/>
      <c r="D2" s="252"/>
      <c r="E2" s="252"/>
      <c r="F2" s="252"/>
      <c r="G2" s="252"/>
      <c r="H2" s="252"/>
      <c r="I2" s="252"/>
      <c r="J2" s="252"/>
      <c r="K2" s="259"/>
      <c r="L2" s="259"/>
      <c r="O2" s="252"/>
      <c r="P2" s="252"/>
      <c r="Q2" s="252"/>
      <c r="R2" s="252"/>
      <c r="S2" s="252"/>
      <c r="T2" s="299" t="s">
        <v>148</v>
      </c>
      <c r="U2" s="299"/>
      <c r="V2" s="299"/>
    </row>
    <row r="3" spans="1:22" s="241" customFormat="1" ht="12">
      <c r="A3" s="261"/>
      <c r="B3" s="242"/>
      <c r="C3" s="242"/>
      <c r="D3" s="252"/>
      <c r="E3" s="252"/>
      <c r="F3" s="252"/>
      <c r="G3" s="252"/>
      <c r="H3" s="252"/>
      <c r="I3" s="252"/>
      <c r="J3" s="252"/>
      <c r="K3" s="259"/>
      <c r="L3" s="259"/>
      <c r="O3" s="252"/>
      <c r="P3" s="252"/>
      <c r="Q3" s="252"/>
      <c r="R3" s="252"/>
      <c r="S3" s="252"/>
      <c r="T3" s="300" t="s">
        <v>149</v>
      </c>
      <c r="U3" s="300"/>
      <c r="V3" s="300"/>
    </row>
    <row r="4" spans="1:22" s="173" customFormat="1" ht="29.25" customHeight="1">
      <c r="A4" s="170" t="s">
        <v>63</v>
      </c>
      <c r="B4" s="281" t="s">
        <v>74</v>
      </c>
      <c r="C4" s="281"/>
      <c r="D4" s="282" t="s">
        <v>136</v>
      </c>
      <c r="E4" s="282"/>
      <c r="F4" s="282" t="s">
        <v>76</v>
      </c>
      <c r="G4" s="282"/>
      <c r="H4" s="282"/>
      <c r="I4" s="282" t="s">
        <v>77</v>
      </c>
      <c r="J4" s="282"/>
      <c r="K4" s="281" t="s">
        <v>78</v>
      </c>
      <c r="L4" s="281"/>
      <c r="M4" s="282" t="s">
        <v>79</v>
      </c>
      <c r="N4" s="282"/>
      <c r="O4" s="281" t="s">
        <v>80</v>
      </c>
      <c r="P4" s="281"/>
      <c r="Q4" s="171"/>
      <c r="R4" s="171"/>
      <c r="S4" s="171" t="s">
        <v>137</v>
      </c>
      <c r="T4" s="172" t="s">
        <v>82</v>
      </c>
      <c r="U4" s="285" t="s">
        <v>13</v>
      </c>
      <c r="V4" s="286"/>
    </row>
    <row r="5" spans="1:22" s="173" customFormat="1" ht="12.75" customHeight="1">
      <c r="A5" s="174"/>
      <c r="B5" s="174" t="s">
        <v>62</v>
      </c>
      <c r="C5" s="174" t="s">
        <v>15</v>
      </c>
      <c r="D5" s="174" t="s">
        <v>62</v>
      </c>
      <c r="E5" s="174" t="s">
        <v>15</v>
      </c>
      <c r="F5" s="174" t="s">
        <v>62</v>
      </c>
      <c r="G5" s="283" t="s">
        <v>15</v>
      </c>
      <c r="H5" s="284"/>
      <c r="I5" s="174" t="s">
        <v>62</v>
      </c>
      <c r="J5" s="174" t="s">
        <v>15</v>
      </c>
      <c r="K5" s="174" t="s">
        <v>62</v>
      </c>
      <c r="L5" s="174" t="s">
        <v>15</v>
      </c>
      <c r="M5" s="174" t="s">
        <v>62</v>
      </c>
      <c r="N5" s="174" t="s">
        <v>15</v>
      </c>
      <c r="O5" s="174" t="s">
        <v>62</v>
      </c>
      <c r="P5" s="174" t="s">
        <v>15</v>
      </c>
      <c r="Q5" s="174" t="s">
        <v>15</v>
      </c>
      <c r="R5" s="174" t="s">
        <v>62</v>
      </c>
      <c r="S5" s="174" t="s">
        <v>15</v>
      </c>
      <c r="T5" s="174" t="s">
        <v>15</v>
      </c>
      <c r="U5" s="174" t="s">
        <v>62</v>
      </c>
      <c r="V5" s="174" t="s">
        <v>15</v>
      </c>
    </row>
    <row r="6" spans="1:22" s="178" customFormat="1" ht="14.25" customHeight="1">
      <c r="A6" s="174"/>
      <c r="B6" s="175"/>
      <c r="C6" s="175"/>
      <c r="D6" s="175"/>
      <c r="E6" s="175"/>
      <c r="F6" s="175"/>
      <c r="G6" s="174" t="s">
        <v>83</v>
      </c>
      <c r="H6" s="174" t="s">
        <v>84</v>
      </c>
      <c r="I6" s="175"/>
      <c r="J6" s="175"/>
      <c r="K6" s="175"/>
      <c r="L6" s="175"/>
      <c r="M6" s="175"/>
      <c r="N6" s="175"/>
      <c r="O6" s="175" t="s">
        <v>49</v>
      </c>
      <c r="P6" s="175"/>
      <c r="Q6" s="176"/>
      <c r="R6" s="176"/>
      <c r="S6" s="176"/>
      <c r="T6" s="176"/>
      <c r="U6" s="177"/>
      <c r="V6" s="172"/>
    </row>
    <row r="7" spans="1:22" ht="12">
      <c r="A7" s="179" t="s">
        <v>69</v>
      </c>
      <c r="B7" s="180">
        <f>'FRUITS7-8'!Z6</f>
        <v>2.961</v>
      </c>
      <c r="C7" s="180">
        <f>'FRUITS7-8'!AA6</f>
        <v>22.457000000000004</v>
      </c>
      <c r="D7" s="180">
        <f>'VEG7-8'!X6</f>
        <v>3.951</v>
      </c>
      <c r="E7" s="180">
        <f>'VEG7-8'!Y6</f>
        <v>30.823</v>
      </c>
      <c r="F7" s="181">
        <v>0</v>
      </c>
      <c r="G7" s="2">
        <v>4.7</v>
      </c>
      <c r="H7" s="2"/>
      <c r="I7" s="182"/>
      <c r="J7" s="182"/>
      <c r="K7" s="181"/>
      <c r="L7" s="181"/>
      <c r="M7" s="2">
        <v>1.6</v>
      </c>
      <c r="N7" s="2">
        <v>3.1</v>
      </c>
      <c r="O7" s="183">
        <f>'PLANTATION7-8'!J7</f>
        <v>25.700000000000003</v>
      </c>
      <c r="P7" s="183">
        <f>'PLANTATION7-8'!K7</f>
        <v>61.17143840330351</v>
      </c>
      <c r="Q7" s="182"/>
      <c r="R7" s="182"/>
      <c r="S7" s="182"/>
      <c r="T7" s="182"/>
      <c r="U7" s="184">
        <f aca="true" t="shared" si="0" ref="U7:U41">B7+D7+F7+I7+K7+M7+O7</f>
        <v>34.212</v>
      </c>
      <c r="V7" s="184">
        <f aca="true" t="shared" si="1" ref="V7:V42">C7+E7+G7+J7+L7+N7+P7+S7+T7</f>
        <v>122.25143840330352</v>
      </c>
    </row>
    <row r="8" spans="1:22" ht="12">
      <c r="A8" s="179" t="s">
        <v>17</v>
      </c>
      <c r="B8" s="182">
        <f>'FRUITS7-8'!Z7</f>
        <v>889.3620000000001</v>
      </c>
      <c r="C8" s="182">
        <f>'FRUITS7-8'!AA7</f>
        <v>12214.37</v>
      </c>
      <c r="D8" s="182">
        <f>'VEG7-8'!X7</f>
        <v>298.91900000000004</v>
      </c>
      <c r="E8" s="182">
        <f>'VEG7-8'!Y7</f>
        <v>4946.255999999999</v>
      </c>
      <c r="F8" s="182">
        <v>23.5</v>
      </c>
      <c r="G8" s="186">
        <v>106.825</v>
      </c>
      <c r="H8" s="187">
        <v>3.03</v>
      </c>
      <c r="I8" s="182">
        <v>19.718</v>
      </c>
      <c r="J8" s="182">
        <v>77.204</v>
      </c>
      <c r="K8" s="181"/>
      <c r="L8" s="181"/>
      <c r="M8" s="2">
        <v>317.8</v>
      </c>
      <c r="N8" s="2">
        <v>1235.2</v>
      </c>
      <c r="O8" s="183">
        <f>'PLANTATION7-8'!J8</f>
        <v>285.32</v>
      </c>
      <c r="P8" s="183">
        <f>'PLANTATION7-8'!K8</f>
        <v>879.0684101858224</v>
      </c>
      <c r="Q8" s="182"/>
      <c r="R8" s="182"/>
      <c r="S8" s="182"/>
      <c r="T8" s="182"/>
      <c r="U8" s="184">
        <f t="shared" si="0"/>
        <v>1834.6190000000001</v>
      </c>
      <c r="V8" s="184">
        <f>C8+E8+G8+J8+L8+N8+P8+S8+T8</f>
        <v>19458.923410185824</v>
      </c>
    </row>
    <row r="9" spans="1:22" ht="12">
      <c r="A9" s="179" t="s">
        <v>18</v>
      </c>
      <c r="B9" s="182">
        <f>'FRUITS7-8'!Z8</f>
        <v>57.60000000000001</v>
      </c>
      <c r="C9" s="182">
        <f>'FRUITS7-8'!AA8</f>
        <v>108</v>
      </c>
      <c r="D9" s="182">
        <f>'VEG7-8'!X8</f>
        <v>23.8</v>
      </c>
      <c r="E9" s="182">
        <f>'VEG7-8'!Y8</f>
        <v>110</v>
      </c>
      <c r="F9" s="188"/>
      <c r="G9" s="181"/>
      <c r="H9" s="189"/>
      <c r="I9" s="182"/>
      <c r="J9" s="182"/>
      <c r="K9" s="181">
        <v>3.8</v>
      </c>
      <c r="L9" s="181">
        <v>0.1</v>
      </c>
      <c r="M9" s="2">
        <v>8.2</v>
      </c>
      <c r="N9" s="2">
        <v>47.5</v>
      </c>
      <c r="O9" s="183">
        <f>'PLANTATION7-8'!J9</f>
        <v>0</v>
      </c>
      <c r="P9" s="183">
        <f>'PLANTATION7-8'!K9</f>
        <v>0</v>
      </c>
      <c r="Q9" s="190"/>
      <c r="R9" s="190"/>
      <c r="S9" s="190"/>
      <c r="T9" s="190"/>
      <c r="U9" s="184">
        <f t="shared" si="0"/>
        <v>93.4</v>
      </c>
      <c r="V9" s="184">
        <f t="shared" si="1"/>
        <v>265.6</v>
      </c>
    </row>
    <row r="10" spans="1:22" ht="12">
      <c r="A10" s="179" t="s">
        <v>19</v>
      </c>
      <c r="B10" s="182">
        <f>'FRUITS7-8'!Z9</f>
        <v>122.7</v>
      </c>
      <c r="C10" s="182">
        <f>'FRUITS7-8'!AA9</f>
        <v>1410.7</v>
      </c>
      <c r="D10" s="182">
        <f>'VEG7-8'!X9</f>
        <v>328.9</v>
      </c>
      <c r="E10" s="182">
        <f>'VEG7-8'!Y9</f>
        <v>4474.2</v>
      </c>
      <c r="F10" s="182"/>
      <c r="G10" s="186"/>
      <c r="H10" s="187"/>
      <c r="I10" s="182">
        <v>0</v>
      </c>
      <c r="J10" s="182">
        <v>0</v>
      </c>
      <c r="K10" s="181">
        <v>0</v>
      </c>
      <c r="L10" s="181">
        <v>0</v>
      </c>
      <c r="M10" s="2">
        <v>27.2</v>
      </c>
      <c r="N10" s="2">
        <v>18.5</v>
      </c>
      <c r="O10" s="183">
        <f>'PLANTATION7-8'!J10</f>
        <v>104.3</v>
      </c>
      <c r="P10" s="183">
        <f>'PLANTATION7-8'!K10</f>
        <v>174.39944941500343</v>
      </c>
      <c r="Q10" s="191"/>
      <c r="R10" s="191"/>
      <c r="S10" s="191"/>
      <c r="T10" s="191"/>
      <c r="U10" s="184">
        <f t="shared" si="0"/>
        <v>583.0999999999999</v>
      </c>
      <c r="V10" s="184">
        <f t="shared" si="1"/>
        <v>6077.799449415003</v>
      </c>
    </row>
    <row r="11" spans="1:22" ht="12">
      <c r="A11" s="179" t="s">
        <v>20</v>
      </c>
      <c r="B11" s="182">
        <f>'FRUITS7-8'!Z10</f>
        <v>286.3</v>
      </c>
      <c r="C11" s="182">
        <f>'FRUITS7-8'!AA10</f>
        <v>3252.4</v>
      </c>
      <c r="D11" s="182">
        <f>'VEG7-8'!X10</f>
        <v>823.8</v>
      </c>
      <c r="E11" s="182">
        <f>'VEG7-8'!Y10</f>
        <v>14067.8</v>
      </c>
      <c r="F11" s="192">
        <v>0.2</v>
      </c>
      <c r="G11" s="2">
        <v>2.3</v>
      </c>
      <c r="H11" s="193">
        <v>11</v>
      </c>
      <c r="I11" s="182"/>
      <c r="J11" s="182"/>
      <c r="K11" s="181"/>
      <c r="L11" s="181"/>
      <c r="M11" s="2">
        <v>11.1</v>
      </c>
      <c r="N11" s="2">
        <v>12.3</v>
      </c>
      <c r="O11" s="183">
        <f>'PLANTATION7-8'!J11</f>
        <v>0</v>
      </c>
      <c r="P11" s="183">
        <f>'PLANTATION7-8'!K11</f>
        <v>0</v>
      </c>
      <c r="Q11" s="181"/>
      <c r="R11" s="181"/>
      <c r="S11" s="181"/>
      <c r="T11" s="181"/>
      <c r="U11" s="184">
        <f t="shared" si="0"/>
        <v>1121.3999999999999</v>
      </c>
      <c r="V11" s="184">
        <f t="shared" si="1"/>
        <v>17334.8</v>
      </c>
    </row>
    <row r="12" spans="1:22" s="196" customFormat="1" ht="12">
      <c r="A12" s="194" t="s">
        <v>21</v>
      </c>
      <c r="B12" s="180">
        <f>'FRUITS7-8'!Z11</f>
        <v>0.1</v>
      </c>
      <c r="C12" s="180">
        <f>'FRUITS7-8'!AA11</f>
        <v>1.1</v>
      </c>
      <c r="D12" s="180">
        <f>'VEG7-8'!X11</f>
        <v>0.1</v>
      </c>
      <c r="E12" s="180">
        <f>'VEG7-8'!Y11</f>
        <v>1.7</v>
      </c>
      <c r="F12" s="192"/>
      <c r="G12" s="2"/>
      <c r="H12" s="193"/>
      <c r="I12" s="192">
        <v>0</v>
      </c>
      <c r="J12" s="192">
        <v>0</v>
      </c>
      <c r="K12" s="195"/>
      <c r="L12" s="195"/>
      <c r="M12" s="2"/>
      <c r="N12" s="2"/>
      <c r="O12" s="183">
        <f>'PLANTATION7-8'!J12</f>
        <v>0</v>
      </c>
      <c r="P12" s="183">
        <f>'PLANTATION7-8'!K12</f>
        <v>0</v>
      </c>
      <c r="Q12" s="195"/>
      <c r="R12" s="195"/>
      <c r="S12" s="195"/>
      <c r="T12" s="195"/>
      <c r="U12" s="184">
        <f t="shared" si="0"/>
        <v>0.2</v>
      </c>
      <c r="V12" s="184">
        <f t="shared" si="1"/>
        <v>2.8</v>
      </c>
    </row>
    <row r="13" spans="1:22" ht="12">
      <c r="A13" s="179" t="s">
        <v>70</v>
      </c>
      <c r="B13" s="182">
        <f>'FRUITS7-8'!Z12</f>
        <v>107.7</v>
      </c>
      <c r="C13" s="182">
        <f>'FRUITS7-8'!AA12</f>
        <v>915.1000000000001</v>
      </c>
      <c r="D13" s="182">
        <f>'VEG7-8'!X12</f>
        <v>292.6</v>
      </c>
      <c r="E13" s="182">
        <f>'VEG7-8'!Y12</f>
        <v>2934.2</v>
      </c>
      <c r="F13" s="181">
        <v>2.4</v>
      </c>
      <c r="G13" s="2">
        <v>6.9</v>
      </c>
      <c r="H13" s="193"/>
      <c r="I13" s="182">
        <v>11.5</v>
      </c>
      <c r="J13" s="182">
        <v>65.6</v>
      </c>
      <c r="K13" s="181"/>
      <c r="L13" s="181"/>
      <c r="M13" s="2">
        <v>11.9</v>
      </c>
      <c r="N13" s="2">
        <v>7.8</v>
      </c>
      <c r="O13" s="183">
        <f>'PLANTATION7-8'!J13</f>
        <v>0</v>
      </c>
      <c r="P13" s="183">
        <f>'PLANTATION7-8'!K13</f>
        <v>0</v>
      </c>
      <c r="Q13" s="181"/>
      <c r="R13" s="181"/>
      <c r="S13" s="181"/>
      <c r="T13" s="181"/>
      <c r="U13" s="184">
        <f t="shared" si="0"/>
        <v>426.09999999999997</v>
      </c>
      <c r="V13" s="184">
        <f t="shared" si="1"/>
        <v>3929.6000000000004</v>
      </c>
    </row>
    <row r="14" spans="1:22" s="196" customFormat="1" ht="12">
      <c r="A14" s="194" t="s">
        <v>23</v>
      </c>
      <c r="B14" s="180">
        <f>'FRUITS7-8'!Z13</f>
        <v>1.8399999999999999</v>
      </c>
      <c r="C14" s="180">
        <f>'FRUITS7-8'!AA13</f>
        <v>19.7</v>
      </c>
      <c r="D14" s="180">
        <f>'VEG7-8'!X13</f>
        <v>0.9700000000000001</v>
      </c>
      <c r="E14" s="180">
        <f>'VEG7-8'!Y13</f>
        <v>4.48</v>
      </c>
      <c r="F14" s="181"/>
      <c r="G14" s="2"/>
      <c r="H14" s="193"/>
      <c r="I14" s="192"/>
      <c r="J14" s="192"/>
      <c r="K14" s="195"/>
      <c r="L14" s="195"/>
      <c r="M14" s="2"/>
      <c r="N14" s="2"/>
      <c r="O14" s="183">
        <f>'PLANTATION7-8'!J14</f>
        <v>0</v>
      </c>
      <c r="P14" s="183">
        <f>'PLANTATION7-8'!K14</f>
        <v>0</v>
      </c>
      <c r="Q14" s="195"/>
      <c r="R14" s="195"/>
      <c r="S14" s="195"/>
      <c r="T14" s="195"/>
      <c r="U14" s="184">
        <f t="shared" si="0"/>
        <v>2.81</v>
      </c>
      <c r="V14" s="184">
        <f t="shared" si="1"/>
        <v>24.18</v>
      </c>
    </row>
    <row r="15" spans="1:22" s="196" customFormat="1" ht="12">
      <c r="A15" s="194" t="s">
        <v>24</v>
      </c>
      <c r="B15" s="180">
        <f>'FRUITS7-8'!Z14</f>
        <v>0.017</v>
      </c>
      <c r="C15" s="180">
        <f>'FRUITS7-8'!AA14</f>
        <v>0.023000000000000003</v>
      </c>
      <c r="D15" s="180">
        <f>'VEG7-8'!X14</f>
        <v>0.162</v>
      </c>
      <c r="E15" s="180">
        <f>'VEG7-8'!Y14</f>
        <v>0.2</v>
      </c>
      <c r="F15" s="195">
        <v>0</v>
      </c>
      <c r="G15" s="2">
        <v>0</v>
      </c>
      <c r="H15" s="197"/>
      <c r="I15" s="192"/>
      <c r="J15" s="192"/>
      <c r="K15" s="195"/>
      <c r="L15" s="195"/>
      <c r="M15" s="2"/>
      <c r="N15" s="2"/>
      <c r="O15" s="183">
        <f>'PLANTATION7-8'!J15</f>
        <v>0</v>
      </c>
      <c r="P15" s="183">
        <f>'PLANTATION7-8'!K15</f>
        <v>0</v>
      </c>
      <c r="Q15" s="195"/>
      <c r="R15" s="195"/>
      <c r="S15" s="195"/>
      <c r="T15" s="195"/>
      <c r="U15" s="184">
        <f t="shared" si="0"/>
        <v>0.179</v>
      </c>
      <c r="V15" s="184">
        <f t="shared" si="1"/>
        <v>0.223</v>
      </c>
    </row>
    <row r="16" spans="1:22" ht="12">
      <c r="A16" s="179" t="s">
        <v>25</v>
      </c>
      <c r="B16" s="180">
        <f>'FRUITS7-8'!Z15</f>
        <v>0.05499999999999999</v>
      </c>
      <c r="C16" s="180">
        <f>'FRUITS7-8'!AA15</f>
        <v>0.9869999999999999</v>
      </c>
      <c r="D16" s="182">
        <f>'VEG7-8'!X15</f>
        <v>42.7</v>
      </c>
      <c r="E16" s="182">
        <f>'VEG7-8'!Y15</f>
        <v>595.6</v>
      </c>
      <c r="F16" s="181">
        <v>5.5</v>
      </c>
      <c r="G16" s="2">
        <v>5.7</v>
      </c>
      <c r="H16" s="193">
        <v>1038</v>
      </c>
      <c r="I16" s="181"/>
      <c r="J16" s="181"/>
      <c r="K16" s="181"/>
      <c r="L16" s="181"/>
      <c r="M16" s="2"/>
      <c r="N16" s="2"/>
      <c r="O16" s="183">
        <f>'PLANTATION7-8'!J16</f>
        <v>0</v>
      </c>
      <c r="P16" s="183">
        <f>'PLANTATION7-8'!K16</f>
        <v>0</v>
      </c>
      <c r="Q16" s="181"/>
      <c r="R16" s="181"/>
      <c r="S16" s="181"/>
      <c r="T16" s="181"/>
      <c r="U16" s="184">
        <f t="shared" si="0"/>
        <v>48.255</v>
      </c>
      <c r="V16" s="184">
        <f t="shared" si="1"/>
        <v>602.287</v>
      </c>
    </row>
    <row r="17" spans="1:22" ht="12">
      <c r="A17" s="179" t="s">
        <v>26</v>
      </c>
      <c r="B17" s="180">
        <f>'FRUITS7-8'!Z16</f>
        <v>10.95</v>
      </c>
      <c r="C17" s="180">
        <f>'FRUITS7-8'!AA16</f>
        <v>97.75</v>
      </c>
      <c r="D17" s="180">
        <f>'VEG7-8'!X16</f>
        <v>8.5</v>
      </c>
      <c r="E17" s="180">
        <f>'VEG7-8'!Y16</f>
        <v>85</v>
      </c>
      <c r="F17" s="181"/>
      <c r="G17" s="2"/>
      <c r="H17" s="193"/>
      <c r="I17" s="182"/>
      <c r="J17" s="182"/>
      <c r="K17" s="181"/>
      <c r="L17" s="181"/>
      <c r="M17" s="2">
        <v>0.7</v>
      </c>
      <c r="N17" s="2">
        <v>0.2</v>
      </c>
      <c r="O17" s="183">
        <f>'PLANTATION7-8'!J17</f>
        <v>82.2</v>
      </c>
      <c r="P17" s="183">
        <f>'PLANTATION7-8'!K17</f>
        <v>121.41830695113558</v>
      </c>
      <c r="Q17" s="182"/>
      <c r="R17" s="182"/>
      <c r="S17" s="182"/>
      <c r="T17" s="182"/>
      <c r="U17" s="184">
        <f t="shared" si="0"/>
        <v>102.35</v>
      </c>
      <c r="V17" s="184">
        <f t="shared" si="1"/>
        <v>304.36830695113554</v>
      </c>
    </row>
    <row r="18" spans="1:22" ht="12">
      <c r="A18" s="179" t="s">
        <v>27</v>
      </c>
      <c r="B18" s="182">
        <f>'FRUITS7-8'!Z17</f>
        <v>306.9</v>
      </c>
      <c r="C18" s="182">
        <f>'FRUITS7-8'!AA17</f>
        <v>5849.7</v>
      </c>
      <c r="D18" s="182">
        <f>'VEG7-8'!X17</f>
        <v>411.7</v>
      </c>
      <c r="E18" s="182">
        <f>'VEG7-8'!Y17</f>
        <v>7402.999999999999</v>
      </c>
      <c r="F18" s="182">
        <v>9.7</v>
      </c>
      <c r="G18" s="2">
        <v>49.5</v>
      </c>
      <c r="H18" s="193">
        <v>5063</v>
      </c>
      <c r="I18" s="182"/>
      <c r="J18" s="182"/>
      <c r="K18" s="181"/>
      <c r="L18" s="181"/>
      <c r="M18" s="2">
        <v>299.8</v>
      </c>
      <c r="N18" s="2">
        <v>356.8</v>
      </c>
      <c r="O18" s="183">
        <f>'PLANTATION7-8'!J18</f>
        <v>20.4</v>
      </c>
      <c r="P18" s="183">
        <f>'PLANTATION7-8'!K18</f>
        <v>99.18238128011012</v>
      </c>
      <c r="Q18" s="198"/>
      <c r="R18" s="198"/>
      <c r="S18" s="198"/>
      <c r="T18" s="198"/>
      <c r="U18" s="184">
        <f t="shared" si="0"/>
        <v>1048.5</v>
      </c>
      <c r="V18" s="184">
        <f t="shared" si="1"/>
        <v>13758.182381280109</v>
      </c>
    </row>
    <row r="19" spans="1:22" ht="12">
      <c r="A19" s="179" t="s">
        <v>28</v>
      </c>
      <c r="B19" s="182">
        <f>'FRUITS7-8'!Z18</f>
        <v>33.5</v>
      </c>
      <c r="C19" s="182">
        <f>'FRUITS7-8'!AA18</f>
        <v>240.40000000000003</v>
      </c>
      <c r="D19" s="182">
        <f>'VEG7-8'!X18</f>
        <v>274.5</v>
      </c>
      <c r="E19" s="182">
        <f>'VEG7-8'!Y18</f>
        <v>3277.0999999999995</v>
      </c>
      <c r="F19" s="182">
        <f>5.437+0.669</f>
        <v>6.106</v>
      </c>
      <c r="G19" s="2">
        <v>61.757</v>
      </c>
      <c r="H19" s="193">
        <v>1053</v>
      </c>
      <c r="I19" s="182">
        <v>1.4</v>
      </c>
      <c r="J19" s="182">
        <v>1</v>
      </c>
      <c r="K19" s="185"/>
      <c r="L19" s="185"/>
      <c r="M19" s="2">
        <v>4.9</v>
      </c>
      <c r="N19" s="2">
        <v>30.9</v>
      </c>
      <c r="O19" s="183">
        <f>'PLANTATION7-8'!J19</f>
        <v>0</v>
      </c>
      <c r="P19" s="183">
        <f>'PLANTATION7-8'!K19</f>
        <v>0</v>
      </c>
      <c r="Q19" s="181"/>
      <c r="R19" s="181"/>
      <c r="S19" s="181">
        <v>6.8</v>
      </c>
      <c r="T19" s="182"/>
      <c r="U19" s="184">
        <f t="shared" si="0"/>
        <v>320.40599999999995</v>
      </c>
      <c r="V19" s="184">
        <f t="shared" si="1"/>
        <v>3617.957</v>
      </c>
    </row>
    <row r="20" spans="1:22" ht="12">
      <c r="A20" s="179" t="s">
        <v>29</v>
      </c>
      <c r="B20" s="182">
        <f>'FRUITS7-8'!Z19</f>
        <v>202.4</v>
      </c>
      <c r="C20" s="182">
        <f>'FRUITS7-8'!AA19</f>
        <v>713</v>
      </c>
      <c r="D20" s="182">
        <f>'VEG7-8'!X19</f>
        <v>63.800000000000004</v>
      </c>
      <c r="E20" s="182">
        <f>'VEG7-8'!Y19</f>
        <v>1150.7</v>
      </c>
      <c r="F20" s="192">
        <v>0.6</v>
      </c>
      <c r="G20" s="2">
        <v>3.4</v>
      </c>
      <c r="H20" s="193">
        <v>566</v>
      </c>
      <c r="I20" s="182"/>
      <c r="J20" s="182"/>
      <c r="K20" s="195">
        <v>11</v>
      </c>
      <c r="L20" s="195">
        <v>3.3</v>
      </c>
      <c r="M20" s="2">
        <v>6.3</v>
      </c>
      <c r="N20" s="2">
        <v>23.4</v>
      </c>
      <c r="O20" s="183">
        <f>'PLANTATION7-8'!J20</f>
        <v>0</v>
      </c>
      <c r="P20" s="183">
        <f>'PLANTATION7-8'!K20</f>
        <v>0</v>
      </c>
      <c r="Q20" s="181"/>
      <c r="R20" s="181"/>
      <c r="S20" s="181">
        <v>5.3</v>
      </c>
      <c r="T20" s="181"/>
      <c r="U20" s="184">
        <f t="shared" si="0"/>
        <v>284.1</v>
      </c>
      <c r="V20" s="184">
        <f t="shared" si="1"/>
        <v>1899.1000000000001</v>
      </c>
    </row>
    <row r="21" spans="1:22" ht="12">
      <c r="A21" s="179" t="s">
        <v>30</v>
      </c>
      <c r="B21" s="182">
        <f>'FRUITS7-8'!Z20</f>
        <v>194.89999999999998</v>
      </c>
      <c r="C21" s="182">
        <f>'FRUITS7-8'!AA20</f>
        <v>1435.8</v>
      </c>
      <c r="D21" s="182">
        <f>'VEG7-8'!X20</f>
        <v>58.6</v>
      </c>
      <c r="E21" s="182">
        <f>'VEG7-8'!Y20</f>
        <v>1238.3</v>
      </c>
      <c r="F21" s="192">
        <v>0.3</v>
      </c>
      <c r="G21" s="2">
        <v>1.3</v>
      </c>
      <c r="H21" s="193">
        <v>218</v>
      </c>
      <c r="I21" s="182"/>
      <c r="J21" s="182"/>
      <c r="K21" s="182">
        <v>98.9</v>
      </c>
      <c r="L21" s="182">
        <v>156.8</v>
      </c>
      <c r="M21" s="2">
        <v>3.6</v>
      </c>
      <c r="N21" s="2">
        <v>0.6</v>
      </c>
      <c r="O21" s="183">
        <f>'PLANTATION7-8'!J21</f>
        <v>0</v>
      </c>
      <c r="P21" s="183">
        <f>'PLANTATION7-8'!K21</f>
        <v>0</v>
      </c>
      <c r="Q21" s="181"/>
      <c r="R21" s="181"/>
      <c r="S21" s="181">
        <v>0.1</v>
      </c>
      <c r="T21" s="181"/>
      <c r="U21" s="184">
        <f t="shared" si="0"/>
        <v>356.3</v>
      </c>
      <c r="V21" s="184">
        <f t="shared" si="1"/>
        <v>2832.9</v>
      </c>
    </row>
    <row r="22" spans="1:22" ht="12">
      <c r="A22" s="179" t="s">
        <v>31</v>
      </c>
      <c r="B22" s="182">
        <f>'FRUITS7-8'!Z21</f>
        <v>37.6</v>
      </c>
      <c r="C22" s="182">
        <f>'FRUITS7-8'!AA21</f>
        <v>382</v>
      </c>
      <c r="D22" s="182">
        <f>'VEG7-8'!X21</f>
        <v>238.79999999999998</v>
      </c>
      <c r="E22" s="182">
        <f>'VEG7-8'!Y21</f>
        <v>3639.7</v>
      </c>
      <c r="F22" s="192">
        <v>0.1</v>
      </c>
      <c r="G22" s="2">
        <v>0.2</v>
      </c>
      <c r="H22" s="193">
        <v>73</v>
      </c>
      <c r="I22" s="182">
        <v>0.1</v>
      </c>
      <c r="J22" s="182">
        <v>0</v>
      </c>
      <c r="K22" s="181"/>
      <c r="L22" s="181"/>
      <c r="M22" s="2"/>
      <c r="N22" s="2"/>
      <c r="O22" s="183">
        <f>'PLANTATION7-8'!J22</f>
        <v>0</v>
      </c>
      <c r="P22" s="183">
        <f>'PLANTATION7-8'!K22</f>
        <v>0</v>
      </c>
      <c r="Q22" s="181"/>
      <c r="R22" s="181"/>
      <c r="S22" s="181"/>
      <c r="T22" s="181"/>
      <c r="U22" s="184">
        <f t="shared" si="0"/>
        <v>276.6</v>
      </c>
      <c r="V22" s="184">
        <f t="shared" si="1"/>
        <v>4021.8999999999996</v>
      </c>
    </row>
    <row r="23" spans="1:22" ht="12">
      <c r="A23" s="179" t="s">
        <v>32</v>
      </c>
      <c r="B23" s="182">
        <f>'FRUITS7-8'!Z22</f>
        <v>299.894</v>
      </c>
      <c r="C23" s="182">
        <f>'FRUITS7-8'!AA22</f>
        <v>5000.571999999999</v>
      </c>
      <c r="D23" s="182">
        <f>'VEG7-8'!X22</f>
        <v>427.449</v>
      </c>
      <c r="E23" s="182">
        <f>'VEG7-8'!Y22</f>
        <v>7367.075</v>
      </c>
      <c r="F23" s="182">
        <v>25.075</v>
      </c>
      <c r="G23" s="2">
        <f>11.274+64+30+59+7.1+8.651</f>
        <v>180.025</v>
      </c>
      <c r="H23" s="193">
        <f>348+528+4266+114+64+10+74+197+67+9+23</f>
        <v>5700</v>
      </c>
      <c r="I23" s="182">
        <f>1.351+1.314</f>
        <v>2.665</v>
      </c>
      <c r="J23" s="182">
        <f>3.358+11.198</f>
        <v>14.556000000000001</v>
      </c>
      <c r="K23" s="181"/>
      <c r="L23" s="181"/>
      <c r="M23" s="2">
        <v>235.2</v>
      </c>
      <c r="N23" s="2">
        <v>344.9</v>
      </c>
      <c r="O23" s="183">
        <f>'PLANTATION7-8'!J23</f>
        <v>683.2</v>
      </c>
      <c r="P23" s="183">
        <f>'PLANTATION7-8'!K23</f>
        <v>1408.7463179628355</v>
      </c>
      <c r="Q23" s="182"/>
      <c r="R23" s="182"/>
      <c r="S23" s="182"/>
      <c r="T23" s="182"/>
      <c r="U23" s="184">
        <f t="shared" si="0"/>
        <v>1673.4830000000002</v>
      </c>
      <c r="V23" s="184">
        <f t="shared" si="1"/>
        <v>14315.874317962835</v>
      </c>
    </row>
    <row r="24" spans="1:22" ht="12">
      <c r="A24" s="179" t="s">
        <v>33</v>
      </c>
      <c r="B24" s="182">
        <f>'FRUITS7-8'!Z23</f>
        <v>323.29999999999995</v>
      </c>
      <c r="C24" s="182">
        <f>'FRUITS7-8'!AA23</f>
        <v>2579.8</v>
      </c>
      <c r="D24" s="182">
        <f>'VEG7-8'!X23</f>
        <v>166.9</v>
      </c>
      <c r="E24" s="182">
        <f>'VEG7-8'!Y23</f>
        <v>3479</v>
      </c>
      <c r="F24" s="182"/>
      <c r="G24" s="2"/>
      <c r="H24" s="193"/>
      <c r="I24" s="182"/>
      <c r="J24" s="182"/>
      <c r="K24" s="181"/>
      <c r="L24" s="181"/>
      <c r="M24" s="2">
        <v>312.3</v>
      </c>
      <c r="N24" s="2">
        <v>159.3</v>
      </c>
      <c r="O24" s="183">
        <f>'PLANTATION7-8'!J24</f>
        <v>1021.5999999999999</v>
      </c>
      <c r="P24" s="183">
        <f>'PLANTATION7-8'!K24</f>
        <v>4076.312456985547</v>
      </c>
      <c r="Q24" s="182"/>
      <c r="R24" s="182"/>
      <c r="S24" s="182"/>
      <c r="T24" s="182"/>
      <c r="U24" s="184">
        <f t="shared" si="0"/>
        <v>1824.1</v>
      </c>
      <c r="V24" s="184">
        <f t="shared" si="1"/>
        <v>10294.412456985548</v>
      </c>
    </row>
    <row r="25" spans="1:22" ht="12">
      <c r="A25" s="179" t="s">
        <v>71</v>
      </c>
      <c r="B25" s="180">
        <f>'FRUITS7-8'!Z24</f>
        <v>0.35</v>
      </c>
      <c r="C25" s="180">
        <f>'FRUITS7-8'!AA24</f>
        <v>1.24</v>
      </c>
      <c r="D25" s="180">
        <f>'VEG7-8'!X24</f>
        <v>0.445</v>
      </c>
      <c r="E25" s="180">
        <f>'VEG7-8'!Y24</f>
        <v>14.12</v>
      </c>
      <c r="F25" s="182"/>
      <c r="G25" s="2"/>
      <c r="H25" s="193"/>
      <c r="I25" s="182"/>
      <c r="J25" s="182"/>
      <c r="K25" s="181"/>
      <c r="L25" s="181"/>
      <c r="M25" s="2"/>
      <c r="N25" s="2"/>
      <c r="O25" s="183">
        <f>'PLANTATION7-8'!J25</f>
        <v>2.7</v>
      </c>
      <c r="P25" s="183">
        <f>'PLANTATION7-8'!K25</f>
        <v>36.4762560220234</v>
      </c>
      <c r="Q25" s="181"/>
      <c r="R25" s="181"/>
      <c r="S25" s="181"/>
      <c r="T25" s="181"/>
      <c r="U25" s="184">
        <f t="shared" si="0"/>
        <v>3.495</v>
      </c>
      <c r="V25" s="184">
        <f t="shared" si="1"/>
        <v>51.8362560220234</v>
      </c>
    </row>
    <row r="26" spans="1:22" ht="12">
      <c r="A26" s="179" t="s">
        <v>35</v>
      </c>
      <c r="B26" s="182">
        <f>'FRUITS7-8'!Z25</f>
        <v>46.599999999999994</v>
      </c>
      <c r="C26" s="182">
        <f>'FRUITS7-8'!AA25</f>
        <v>1237.1</v>
      </c>
      <c r="D26" s="182">
        <f>'VEG7-8'!X25</f>
        <v>209.4</v>
      </c>
      <c r="E26" s="182">
        <f>'VEG7-8'!Y25</f>
        <v>2919.7000000000003</v>
      </c>
      <c r="F26" s="181">
        <v>2.6</v>
      </c>
      <c r="G26" s="2">
        <v>1.5</v>
      </c>
      <c r="H26" s="193"/>
      <c r="I26" s="182">
        <v>19.6</v>
      </c>
      <c r="J26" s="182">
        <v>117.6</v>
      </c>
      <c r="K26" s="181"/>
      <c r="L26" s="181"/>
      <c r="M26" s="2">
        <v>194.6</v>
      </c>
      <c r="N26" s="2">
        <v>249.8</v>
      </c>
      <c r="O26" s="183">
        <f>'PLANTATION7-8'!J26</f>
        <v>0</v>
      </c>
      <c r="P26" s="183">
        <f>'PLANTATION7-8'!K26</f>
        <v>0</v>
      </c>
      <c r="Q26" s="181"/>
      <c r="R26" s="181"/>
      <c r="S26" s="181"/>
      <c r="T26" s="181"/>
      <c r="U26" s="184">
        <f t="shared" si="0"/>
        <v>472.80000000000007</v>
      </c>
      <c r="V26" s="184">
        <f t="shared" si="1"/>
        <v>4525.700000000001</v>
      </c>
    </row>
    <row r="27" spans="1:22" ht="12">
      <c r="A27" s="179" t="s">
        <v>36</v>
      </c>
      <c r="B27" s="182">
        <f>'FRUITS7-8'!Z26</f>
        <v>1432.3</v>
      </c>
      <c r="C27" s="182">
        <f>'FRUITS7-8'!AA26</f>
        <v>11047.6</v>
      </c>
      <c r="D27" s="182">
        <f>'VEG7-8'!X26</f>
        <v>455.30000000000007</v>
      </c>
      <c r="E27" s="182">
        <f>'VEG7-8'!Y26</f>
        <v>6454.9</v>
      </c>
      <c r="F27" s="192">
        <v>16.7</v>
      </c>
      <c r="G27" s="2">
        <v>69.5</v>
      </c>
      <c r="H27" s="193">
        <v>5728</v>
      </c>
      <c r="I27" s="182"/>
      <c r="J27" s="182"/>
      <c r="K27" s="192"/>
      <c r="L27" s="192"/>
      <c r="M27" s="2">
        <v>114.3</v>
      </c>
      <c r="N27" s="2">
        <v>100.2</v>
      </c>
      <c r="O27" s="183">
        <f>'PLANTATION7-8'!J27</f>
        <v>190.2</v>
      </c>
      <c r="P27" s="183">
        <f>'PLANTATION7-8'!K27</f>
        <v>334.1092911218169</v>
      </c>
      <c r="Q27" s="182"/>
      <c r="R27" s="182"/>
      <c r="S27" s="182"/>
      <c r="T27" s="182"/>
      <c r="U27" s="184">
        <f t="shared" si="0"/>
        <v>2208.7999999999997</v>
      </c>
      <c r="V27" s="184">
        <f t="shared" si="1"/>
        <v>18006.30929112182</v>
      </c>
    </row>
    <row r="28" spans="1:22" s="196" customFormat="1" ht="12">
      <c r="A28" s="194" t="s">
        <v>37</v>
      </c>
      <c r="B28" s="182">
        <f>'FRUITS7-8'!Z27</f>
        <v>39.1</v>
      </c>
      <c r="C28" s="182">
        <f>'FRUITS7-8'!AA27</f>
        <v>273.7</v>
      </c>
      <c r="D28" s="180">
        <f>'VEG7-8'!X27</f>
        <v>12.093</v>
      </c>
      <c r="E28" s="180">
        <f>'VEG7-8'!Y27</f>
        <v>113.675</v>
      </c>
      <c r="F28" s="192">
        <v>0</v>
      </c>
      <c r="G28" s="2">
        <v>0</v>
      </c>
      <c r="H28" s="197"/>
      <c r="I28" s="192"/>
      <c r="J28" s="192"/>
      <c r="K28" s="195"/>
      <c r="L28" s="195"/>
      <c r="M28" s="2">
        <v>8.7</v>
      </c>
      <c r="N28" s="2">
        <v>7.7</v>
      </c>
      <c r="O28" s="183">
        <f>'PLANTATION7-8'!J28</f>
        <v>0</v>
      </c>
      <c r="P28" s="183">
        <f>'PLANTATION7-8'!K28</f>
        <v>0</v>
      </c>
      <c r="Q28" s="195"/>
      <c r="R28" s="195"/>
      <c r="S28" s="195"/>
      <c r="T28" s="195"/>
      <c r="U28" s="184">
        <f t="shared" si="0"/>
        <v>59.893</v>
      </c>
      <c r="V28" s="184">
        <f t="shared" si="1"/>
        <v>395.075</v>
      </c>
    </row>
    <row r="29" spans="1:22" ht="12">
      <c r="A29" s="179" t="s">
        <v>38</v>
      </c>
      <c r="B29" s="182">
        <f>'FRUITS7-8'!Z28</f>
        <v>28.5</v>
      </c>
      <c r="C29" s="182">
        <f>'FRUITS7-8'!AA28</f>
        <v>235.3</v>
      </c>
      <c r="D29" s="182">
        <f>'VEG7-8'!X28</f>
        <v>42.5</v>
      </c>
      <c r="E29" s="182">
        <f>'VEG7-8'!Y28</f>
        <v>352.5</v>
      </c>
      <c r="F29" s="192"/>
      <c r="G29" s="2"/>
      <c r="H29" s="197"/>
      <c r="I29" s="182"/>
      <c r="J29" s="182"/>
      <c r="K29" s="181"/>
      <c r="L29" s="181"/>
      <c r="M29" s="2">
        <v>18.4</v>
      </c>
      <c r="N29" s="2">
        <v>80.9</v>
      </c>
      <c r="O29" s="183">
        <f>'PLANTATION7-8'!J29</f>
        <v>12.1</v>
      </c>
      <c r="P29" s="183">
        <f>'PLANTATION7-8'!K29</f>
        <v>16.5</v>
      </c>
      <c r="Q29" s="182"/>
      <c r="R29" s="182"/>
      <c r="S29" s="182"/>
      <c r="T29" s="182"/>
      <c r="U29" s="184">
        <f t="shared" si="0"/>
        <v>101.5</v>
      </c>
      <c r="V29" s="184">
        <f t="shared" si="1"/>
        <v>685.1999999999999</v>
      </c>
    </row>
    <row r="30" spans="1:22" ht="12">
      <c r="A30" s="179" t="s">
        <v>39</v>
      </c>
      <c r="B30" s="182">
        <f>'FRUITS7-8'!Z29</f>
        <v>33.269999999999996</v>
      </c>
      <c r="C30" s="182">
        <f>'FRUITS7-8'!AA29</f>
        <v>203.416</v>
      </c>
      <c r="D30" s="180">
        <f>'VEG7-8'!X29</f>
        <v>2.965</v>
      </c>
      <c r="E30" s="180">
        <f>'VEG7-8'!Y29</f>
        <v>51.86</v>
      </c>
      <c r="F30" s="181">
        <v>0.009</v>
      </c>
      <c r="G30" s="2">
        <v>0</v>
      </c>
      <c r="H30" s="193">
        <f>12.56+25+37.95</f>
        <v>75.51</v>
      </c>
      <c r="I30" s="182"/>
      <c r="J30" s="182"/>
      <c r="K30" s="181"/>
      <c r="L30" s="181"/>
      <c r="M30" s="2">
        <v>9</v>
      </c>
      <c r="N30" s="2">
        <v>38.3</v>
      </c>
      <c r="O30" s="183">
        <f>'PLANTATION7-8'!J30</f>
        <v>2</v>
      </c>
      <c r="P30" s="183">
        <f>'PLANTATION7-8'!K30</f>
        <v>5.3</v>
      </c>
      <c r="Q30" s="182"/>
      <c r="R30" s="182"/>
      <c r="S30" s="182"/>
      <c r="T30" s="182"/>
      <c r="U30" s="184">
        <f t="shared" si="0"/>
        <v>47.244</v>
      </c>
      <c r="V30" s="184">
        <f t="shared" si="1"/>
        <v>298.87600000000003</v>
      </c>
    </row>
    <row r="31" spans="1:22" s="196" customFormat="1" ht="12">
      <c r="A31" s="194" t="s">
        <v>40</v>
      </c>
      <c r="B31" s="182">
        <f>'FRUITS7-8'!Z30</f>
        <v>11.751000000000001</v>
      </c>
      <c r="C31" s="182">
        <f>'FRUITS7-8'!AA30</f>
        <v>52.97</v>
      </c>
      <c r="D31" s="180">
        <f>'VEG7-8'!X30</f>
        <v>10.415</v>
      </c>
      <c r="E31" s="180">
        <f>'VEG7-8'!Y30</f>
        <v>63.5</v>
      </c>
      <c r="F31" s="195">
        <v>0</v>
      </c>
      <c r="G31" s="2">
        <v>0</v>
      </c>
      <c r="H31" s="193">
        <v>17</v>
      </c>
      <c r="I31" s="192"/>
      <c r="J31" s="192"/>
      <c r="K31" s="195"/>
      <c r="L31" s="195"/>
      <c r="M31" s="2">
        <v>4.5</v>
      </c>
      <c r="N31" s="2">
        <v>26.2</v>
      </c>
      <c r="O31" s="183">
        <f>'PLANTATION7-8'!J31</f>
        <v>1.1</v>
      </c>
      <c r="P31" s="183">
        <f>'PLANTATION7-8'!K31</f>
        <v>1.437646249139711</v>
      </c>
      <c r="Q31" s="195"/>
      <c r="R31" s="195"/>
      <c r="S31" s="195"/>
      <c r="T31" s="195"/>
      <c r="U31" s="184">
        <f t="shared" si="0"/>
        <v>27.766000000000002</v>
      </c>
      <c r="V31" s="184">
        <f t="shared" si="1"/>
        <v>144.1076462491397</v>
      </c>
    </row>
    <row r="32" spans="1:22" ht="12">
      <c r="A32" s="179" t="s">
        <v>72</v>
      </c>
      <c r="B32" s="182">
        <f>'FRUITS7-8'!Z31</f>
        <v>265.2</v>
      </c>
      <c r="C32" s="182">
        <f>'FRUITS7-8'!AA31</f>
        <v>1275.1</v>
      </c>
      <c r="D32" s="182">
        <f>'VEG7-8'!X31</f>
        <v>660.8</v>
      </c>
      <c r="E32" s="182">
        <f>'VEG7-8'!Y31</f>
        <v>8214.800000000001</v>
      </c>
      <c r="F32" s="182">
        <v>2.4</v>
      </c>
      <c r="G32" s="2">
        <v>7</v>
      </c>
      <c r="H32" s="193"/>
      <c r="I32" s="182"/>
      <c r="J32" s="182"/>
      <c r="K32" s="181"/>
      <c r="L32" s="181"/>
      <c r="M32" s="2">
        <v>147</v>
      </c>
      <c r="N32" s="2">
        <v>199.2</v>
      </c>
      <c r="O32" s="183">
        <f>'PLANTATION7-8'!J32</f>
        <v>182</v>
      </c>
      <c r="P32" s="183">
        <f>'PLANTATION7-8'!K32</f>
        <v>279.81417756366136</v>
      </c>
      <c r="Q32" s="182"/>
      <c r="R32" s="182"/>
      <c r="S32" s="182"/>
      <c r="T32" s="182"/>
      <c r="U32" s="184">
        <f t="shared" si="0"/>
        <v>1257.4</v>
      </c>
      <c r="V32" s="184">
        <f t="shared" si="1"/>
        <v>9975.914177563664</v>
      </c>
    </row>
    <row r="33" spans="1:22" s="196" customFormat="1" ht="12">
      <c r="A33" s="194" t="s">
        <v>42</v>
      </c>
      <c r="B33" s="180">
        <f>'FRUITS7-8'!Z32</f>
        <v>1.671</v>
      </c>
      <c r="C33" s="180">
        <f>'FRUITS7-8'!AA32</f>
        <v>51.993</v>
      </c>
      <c r="D33" s="180">
        <f>'VEG7-8'!X32</f>
        <v>2.651</v>
      </c>
      <c r="E33" s="180">
        <f>'VEG7-8'!Y32</f>
        <v>54.70099999999999</v>
      </c>
      <c r="F33" s="195">
        <v>0.3</v>
      </c>
      <c r="G33" s="2">
        <v>2.7</v>
      </c>
      <c r="H33" s="197"/>
      <c r="I33" s="192"/>
      <c r="J33" s="192"/>
      <c r="K33" s="195"/>
      <c r="L33" s="195"/>
      <c r="M33" s="2">
        <v>0.1</v>
      </c>
      <c r="N33" s="2">
        <v>0.5</v>
      </c>
      <c r="O33" s="183">
        <f>'PLANTATION7-8'!J33</f>
        <v>7.3</v>
      </c>
      <c r="P33" s="183">
        <f>'PLANTATION7-8'!K33</f>
        <v>20.406951135581558</v>
      </c>
      <c r="Q33" s="195"/>
      <c r="R33" s="195"/>
      <c r="S33" s="195"/>
      <c r="T33" s="195"/>
      <c r="U33" s="184">
        <f t="shared" si="0"/>
        <v>12.021999999999998</v>
      </c>
      <c r="V33" s="184">
        <f t="shared" si="1"/>
        <v>130.30095113558156</v>
      </c>
    </row>
    <row r="34" spans="1:22" ht="12">
      <c r="A34" s="179" t="s">
        <v>43</v>
      </c>
      <c r="B34" s="182">
        <f>'FRUITS7-8'!Z33</f>
        <v>61.599999999999994</v>
      </c>
      <c r="C34" s="182">
        <f>'FRUITS7-8'!AA33</f>
        <v>1055.5</v>
      </c>
      <c r="D34" s="182">
        <f>'VEG7-8'!X33</f>
        <v>171.6</v>
      </c>
      <c r="E34" s="182">
        <f>'VEG7-8'!Y33</f>
        <v>2772.1</v>
      </c>
      <c r="F34" s="182">
        <v>1</v>
      </c>
      <c r="G34" s="2">
        <v>77.9</v>
      </c>
      <c r="H34" s="193"/>
      <c r="I34" s="182">
        <v>2.4</v>
      </c>
      <c r="J34" s="182">
        <v>1.1</v>
      </c>
      <c r="K34" s="181"/>
      <c r="L34" s="181"/>
      <c r="M34" s="2">
        <v>5.2</v>
      </c>
      <c r="N34" s="2">
        <v>23.7</v>
      </c>
      <c r="O34" s="183">
        <f>'PLANTATION7-8'!J34</f>
        <v>0</v>
      </c>
      <c r="P34" s="183">
        <f>'PLANTATION7-8'!K34</f>
        <v>0</v>
      </c>
      <c r="Q34" s="181"/>
      <c r="R34" s="181"/>
      <c r="S34" s="181">
        <v>20</v>
      </c>
      <c r="T34" s="182"/>
      <c r="U34" s="184">
        <f t="shared" si="0"/>
        <v>241.79999999999998</v>
      </c>
      <c r="V34" s="184">
        <f t="shared" si="1"/>
        <v>3950.2999999999997</v>
      </c>
    </row>
    <row r="35" spans="1:22" ht="12">
      <c r="A35" s="179" t="s">
        <v>44</v>
      </c>
      <c r="B35" s="182">
        <f>'FRUITS7-8'!Z34</f>
        <v>41.64</v>
      </c>
      <c r="C35" s="182">
        <f>'FRUITS7-8'!AA34</f>
        <v>421.81000000000006</v>
      </c>
      <c r="D35" s="182">
        <f>'VEG7-8'!X34</f>
        <v>143.132</v>
      </c>
      <c r="E35" s="182">
        <f>'VEG7-8'!Y34</f>
        <v>853.329</v>
      </c>
      <c r="F35" s="182">
        <v>4.3</v>
      </c>
      <c r="G35" s="2">
        <v>6.175</v>
      </c>
      <c r="H35" s="193"/>
      <c r="I35" s="182">
        <v>198.2</v>
      </c>
      <c r="J35" s="182">
        <v>94.06</v>
      </c>
      <c r="K35" s="181"/>
      <c r="L35" s="181"/>
      <c r="M35" s="2">
        <v>556.4</v>
      </c>
      <c r="N35" s="2">
        <v>520.6</v>
      </c>
      <c r="O35" s="183">
        <f>'PLANTATION7-8'!J35</f>
        <v>0</v>
      </c>
      <c r="P35" s="183">
        <f>'PLANTATION7-8'!K35</f>
        <v>0</v>
      </c>
      <c r="Q35" s="181"/>
      <c r="R35" s="181"/>
      <c r="S35" s="181">
        <v>0.7</v>
      </c>
      <c r="T35" s="181"/>
      <c r="U35" s="184">
        <f t="shared" si="0"/>
        <v>943.672</v>
      </c>
      <c r="V35" s="184">
        <f t="shared" si="1"/>
        <v>1896.6740000000002</v>
      </c>
    </row>
    <row r="36" spans="1:22" ht="12">
      <c r="A36" s="179" t="s">
        <v>45</v>
      </c>
      <c r="B36" s="180">
        <f>'FRUITS7-8'!Z35</f>
        <v>9.299</v>
      </c>
      <c r="C36" s="180">
        <f>'FRUITS7-8'!AA35</f>
        <v>13.934</v>
      </c>
      <c r="D36" s="180">
        <f>'VEG7-8'!X35</f>
        <v>20.067</v>
      </c>
      <c r="E36" s="180">
        <f>'VEG7-8'!Y35</f>
        <v>95.872</v>
      </c>
      <c r="F36" s="181">
        <v>0.135</v>
      </c>
      <c r="G36" s="2">
        <v>0</v>
      </c>
      <c r="H36" s="193">
        <v>44.644</v>
      </c>
      <c r="I36" s="182"/>
      <c r="J36" s="182"/>
      <c r="K36" s="181"/>
      <c r="L36" s="181"/>
      <c r="M36" s="2">
        <v>34</v>
      </c>
      <c r="N36" s="2">
        <v>42.4</v>
      </c>
      <c r="O36" s="183">
        <f>'PLANTATION7-8'!J36</f>
        <v>0</v>
      </c>
      <c r="P36" s="183">
        <f>'PLANTATION7-8'!K36</f>
        <v>0</v>
      </c>
      <c r="Q36" s="181"/>
      <c r="R36" s="181"/>
      <c r="S36" s="181"/>
      <c r="T36" s="181"/>
      <c r="U36" s="184">
        <f t="shared" si="0"/>
        <v>63.501000000000005</v>
      </c>
      <c r="V36" s="184">
        <f t="shared" si="1"/>
        <v>152.206</v>
      </c>
    </row>
    <row r="37" spans="1:22" ht="12">
      <c r="A37" s="179" t="s">
        <v>73</v>
      </c>
      <c r="B37" s="182">
        <f>'FRUITS7-8'!Z36</f>
        <v>292.49999999999994</v>
      </c>
      <c r="C37" s="182">
        <f>'FRUITS7-8'!AA36</f>
        <v>7530.100000000001</v>
      </c>
      <c r="D37" s="182">
        <f>'VEG7-8'!X36</f>
        <v>262.7</v>
      </c>
      <c r="E37" s="182">
        <f>'VEG7-8'!Y36</f>
        <v>7975.699999999999</v>
      </c>
      <c r="F37" s="182">
        <v>26.7</v>
      </c>
      <c r="G37" s="2">
        <v>214.4</v>
      </c>
      <c r="H37" s="193"/>
      <c r="I37" s="182">
        <v>7.6</v>
      </c>
      <c r="J37" s="182">
        <v>11.2</v>
      </c>
      <c r="K37" s="181"/>
      <c r="L37" s="181"/>
      <c r="M37" s="2">
        <v>126.8</v>
      </c>
      <c r="N37" s="2">
        <v>279.2</v>
      </c>
      <c r="O37" s="183">
        <f>'PLANTATION7-8'!J37</f>
        <v>512.6700000000001</v>
      </c>
      <c r="P37" s="183">
        <f>'PLANTATION7-8'!K37</f>
        <v>3493.4704748795593</v>
      </c>
      <c r="Q37" s="182"/>
      <c r="R37" s="182"/>
      <c r="S37" s="182"/>
      <c r="T37" s="182"/>
      <c r="U37" s="184">
        <f t="shared" si="0"/>
        <v>1228.97</v>
      </c>
      <c r="V37" s="184">
        <f t="shared" si="1"/>
        <v>19504.07047487956</v>
      </c>
    </row>
    <row r="38" spans="1:22" ht="12">
      <c r="A38" s="179" t="s">
        <v>47</v>
      </c>
      <c r="B38" s="182">
        <f>'FRUITS7-8'!Z37</f>
        <v>33.900000000000006</v>
      </c>
      <c r="C38" s="182">
        <f>'FRUITS7-8'!AA37</f>
        <v>525.7</v>
      </c>
      <c r="D38" s="182">
        <f>'VEG7-8'!X37</f>
        <v>33.7</v>
      </c>
      <c r="E38" s="182">
        <f>'VEG7-8'!Y37</f>
        <v>423.59999999999997</v>
      </c>
      <c r="F38" s="182"/>
      <c r="G38" s="2"/>
      <c r="H38" s="193"/>
      <c r="I38" s="182"/>
      <c r="J38" s="182"/>
      <c r="K38" s="181"/>
      <c r="L38" s="181"/>
      <c r="M38" s="2">
        <v>4.5</v>
      </c>
      <c r="N38" s="2">
        <v>9.4</v>
      </c>
      <c r="O38" s="183">
        <f>'PLANTATION7-8'!J38</f>
        <v>9.2</v>
      </c>
      <c r="P38" s="183">
        <f>'PLANTATION7-8'!K38</f>
        <v>14.745836200963524</v>
      </c>
      <c r="Q38" s="182"/>
      <c r="R38" s="182"/>
      <c r="S38" s="182"/>
      <c r="T38" s="182"/>
      <c r="U38" s="184">
        <f t="shared" si="0"/>
        <v>81.30000000000001</v>
      </c>
      <c r="V38" s="184">
        <f t="shared" si="1"/>
        <v>973.4458362009634</v>
      </c>
    </row>
    <row r="39" spans="1:22" ht="12">
      <c r="A39" s="179" t="s">
        <v>48</v>
      </c>
      <c r="B39" s="182">
        <f>'FRUITS7-8'!Z38</f>
        <v>315.76699999999994</v>
      </c>
      <c r="C39" s="182">
        <f>'FRUITS7-8'!AA38</f>
        <v>3932.5660000000003</v>
      </c>
      <c r="D39" s="182">
        <f>'VEG7-8'!X38</f>
        <v>960.8249999999999</v>
      </c>
      <c r="E39" s="182">
        <f>'VEG7-8'!Y38</f>
        <v>19790.3</v>
      </c>
      <c r="F39" s="182">
        <f>7.359+2.928</f>
        <v>10.286999999999999</v>
      </c>
      <c r="G39" s="2">
        <f>17.492</f>
        <v>17.492</v>
      </c>
      <c r="H39" s="193">
        <v>2928</v>
      </c>
      <c r="I39" s="182">
        <v>133.7</v>
      </c>
      <c r="J39" s="182">
        <v>13.4</v>
      </c>
      <c r="K39" s="181"/>
      <c r="L39" s="181"/>
      <c r="M39" s="2">
        <v>56.8</v>
      </c>
      <c r="N39" s="2">
        <v>166.9</v>
      </c>
      <c r="O39" s="183">
        <f>'PLANTATION7-8'!J39</f>
        <v>0</v>
      </c>
      <c r="P39" s="183">
        <f>'PLANTATION7-8'!K39</f>
        <v>0</v>
      </c>
      <c r="Q39" s="181"/>
      <c r="R39" s="181"/>
      <c r="S39" s="181">
        <v>4</v>
      </c>
      <c r="T39" s="181"/>
      <c r="U39" s="184">
        <f t="shared" si="0"/>
        <v>1477.379</v>
      </c>
      <c r="V39" s="184">
        <f t="shared" si="1"/>
        <v>23924.658</v>
      </c>
    </row>
    <row r="40" spans="1:22" s="196" customFormat="1" ht="12">
      <c r="A40" s="194" t="s">
        <v>50</v>
      </c>
      <c r="B40" s="182">
        <f>'FRUITS7-8'!Z39</f>
        <v>171.3</v>
      </c>
      <c r="C40" s="182">
        <f>'FRUITS7-8'!AA39</f>
        <v>717.8</v>
      </c>
      <c r="D40" s="182">
        <f>'VEG7-8'!X39</f>
        <v>80.5</v>
      </c>
      <c r="E40" s="182">
        <f>'VEG7-8'!Y39</f>
        <v>1036.2</v>
      </c>
      <c r="F40" s="192">
        <v>0.9</v>
      </c>
      <c r="G40" s="2">
        <v>0.7</v>
      </c>
      <c r="H40" s="193">
        <v>1456</v>
      </c>
      <c r="I40" s="192"/>
      <c r="J40" s="192"/>
      <c r="K40" s="182">
        <v>18.6</v>
      </c>
      <c r="L40" s="182">
        <v>16.3</v>
      </c>
      <c r="M40" s="2">
        <v>3.3</v>
      </c>
      <c r="N40" s="2">
        <v>2.9</v>
      </c>
      <c r="O40" s="183">
        <f>'PLANTATION7-8'!J40</f>
        <v>0</v>
      </c>
      <c r="P40" s="183">
        <f>'PLANTATION7-8'!K40</f>
        <v>0</v>
      </c>
      <c r="Q40" s="195"/>
      <c r="R40" s="195"/>
      <c r="S40" s="195"/>
      <c r="T40" s="195"/>
      <c r="U40" s="184">
        <f t="shared" si="0"/>
        <v>274.6</v>
      </c>
      <c r="V40" s="184">
        <f t="shared" si="1"/>
        <v>1773.9</v>
      </c>
    </row>
    <row r="41" spans="1:22" ht="12">
      <c r="A41" s="179" t="s">
        <v>51</v>
      </c>
      <c r="B41" s="182">
        <f>'FRUITS7-8'!Z40</f>
        <v>194.4</v>
      </c>
      <c r="C41" s="182">
        <f>'FRUITS7-8'!AA40</f>
        <v>2766.6</v>
      </c>
      <c r="D41" s="182">
        <f>'VEG7-8'!X40</f>
        <v>1313.1</v>
      </c>
      <c r="E41" s="182">
        <f>'VEG7-8'!Y40</f>
        <v>22456.800000000003</v>
      </c>
      <c r="F41" s="182">
        <v>27.4</v>
      </c>
      <c r="G41" s="188">
        <v>48.4</v>
      </c>
      <c r="H41" s="193">
        <v>19680</v>
      </c>
      <c r="I41" s="182"/>
      <c r="J41" s="182"/>
      <c r="K41" s="181"/>
      <c r="L41" s="181"/>
      <c r="M41" s="2">
        <v>79</v>
      </c>
      <c r="N41" s="2">
        <v>114.4</v>
      </c>
      <c r="O41" s="183">
        <f>'PLANTATION7-8'!J41</f>
        <v>47.6</v>
      </c>
      <c r="P41" s="183">
        <f>'PLANTATION7-8'!K41</f>
        <v>277.35443909153474</v>
      </c>
      <c r="Q41" s="182"/>
      <c r="R41" s="182"/>
      <c r="S41" s="182"/>
      <c r="T41" s="182"/>
      <c r="U41" s="184">
        <f t="shared" si="0"/>
        <v>1661.5</v>
      </c>
      <c r="V41" s="184">
        <f t="shared" si="1"/>
        <v>25663.55443909154</v>
      </c>
    </row>
    <row r="42" spans="1:22" s="200" customFormat="1" ht="12">
      <c r="A42" s="179" t="s">
        <v>13</v>
      </c>
      <c r="B42" s="179">
        <f aca="true" t="shared" si="2" ref="B42:S42">SUM(B7:B41)</f>
        <v>5857.227000000002</v>
      </c>
      <c r="C42" s="179">
        <f t="shared" si="2"/>
        <v>65586.288</v>
      </c>
      <c r="D42" s="179">
        <f t="shared" si="2"/>
        <v>7848.343999999999</v>
      </c>
      <c r="E42" s="179">
        <f t="shared" si="2"/>
        <v>128448.79100000001</v>
      </c>
      <c r="F42" s="179">
        <f t="shared" si="2"/>
        <v>166.21200000000002</v>
      </c>
      <c r="G42" s="179">
        <f t="shared" si="2"/>
        <v>868.3739999999999</v>
      </c>
      <c r="H42" s="199">
        <f t="shared" si="2"/>
        <v>43654.183999999994</v>
      </c>
      <c r="I42" s="179">
        <f t="shared" si="2"/>
        <v>396.883</v>
      </c>
      <c r="J42" s="179">
        <f t="shared" si="2"/>
        <v>395.71999999999997</v>
      </c>
      <c r="K42" s="179">
        <f t="shared" si="2"/>
        <v>132.3</v>
      </c>
      <c r="L42" s="179">
        <f t="shared" si="2"/>
        <v>176.50000000000003</v>
      </c>
      <c r="M42" s="179">
        <v>2616.66</v>
      </c>
      <c r="N42" s="179">
        <v>4356.73</v>
      </c>
      <c r="O42" s="179">
        <f t="shared" si="2"/>
        <v>3189.5899999999992</v>
      </c>
      <c r="P42" s="179">
        <f t="shared" si="2"/>
        <v>11299.913833448038</v>
      </c>
      <c r="Q42" s="179">
        <f t="shared" si="2"/>
        <v>0</v>
      </c>
      <c r="R42" s="179">
        <f t="shared" si="2"/>
        <v>0</v>
      </c>
      <c r="S42" s="179">
        <f t="shared" si="2"/>
        <v>36.900000000000006</v>
      </c>
      <c r="T42" s="179">
        <v>65</v>
      </c>
      <c r="U42" s="184">
        <f>B42+D42+F42+I42++K42+M42+O42</f>
        <v>20207.215999999997</v>
      </c>
      <c r="V42" s="179">
        <f t="shared" si="1"/>
        <v>211234.21683344807</v>
      </c>
    </row>
    <row r="43" spans="1:22" ht="12">
      <c r="A43" s="173" t="s">
        <v>85</v>
      </c>
      <c r="B43" s="201"/>
      <c r="C43" s="201"/>
      <c r="D43" s="201"/>
      <c r="E43" s="201"/>
      <c r="F43" s="202"/>
      <c r="G43" s="202"/>
      <c r="H43" s="201"/>
      <c r="I43" s="185"/>
      <c r="J43" s="185"/>
      <c r="K43" s="185"/>
      <c r="N43" s="185" t="s">
        <v>49</v>
      </c>
      <c r="U43" s="113"/>
      <c r="V43" s="113"/>
    </row>
    <row r="44" spans="1:22" ht="12">
      <c r="A44" s="205" t="s">
        <v>86</v>
      </c>
      <c r="B44" s="201"/>
      <c r="C44" s="201"/>
      <c r="D44" s="201"/>
      <c r="E44" s="201"/>
      <c r="F44" s="201"/>
      <c r="G44" s="201"/>
      <c r="H44" s="201"/>
      <c r="I44" s="185"/>
      <c r="J44" s="185"/>
      <c r="K44" s="185"/>
      <c r="U44" s="121"/>
      <c r="V44" s="113"/>
    </row>
    <row r="45" spans="1:19" ht="12.75" customHeight="1">
      <c r="A45" s="205" t="s">
        <v>91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</row>
    <row r="46" spans="1:19" ht="12.75" customHeight="1">
      <c r="A46" s="206" t="s">
        <v>88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</row>
    <row r="47" spans="1:19" ht="12.75" customHeight="1">
      <c r="A47" s="206" t="s">
        <v>92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8"/>
      <c r="R47" s="208"/>
      <c r="S47" s="208"/>
    </row>
    <row r="48" spans="2:19" ht="12.75" customHeight="1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</row>
    <row r="49" spans="1:19" ht="12.75" customHeight="1">
      <c r="A49" s="206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</row>
    <row r="50" spans="1:19" ht="12.75" customHeight="1">
      <c r="A50" s="206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</row>
    <row r="51" spans="1:19" ht="12.75" customHeight="1">
      <c r="A51" s="206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</row>
    <row r="52" spans="1:19" ht="12.75" customHeight="1">
      <c r="A52" s="206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</row>
    <row r="53" spans="1:19" ht="12.75" customHeight="1">
      <c r="A53" s="206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</row>
    <row r="54" spans="1:19" ht="12.75" customHeight="1">
      <c r="A54" s="206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</row>
    <row r="55" spans="1:6" ht="12">
      <c r="A55" s="206"/>
      <c r="B55" s="209"/>
      <c r="C55" s="209"/>
      <c r="D55" s="209"/>
      <c r="E55" s="209"/>
      <c r="F55" s="209"/>
    </row>
    <row r="56" spans="1:6" ht="12">
      <c r="A56" s="210"/>
      <c r="B56" s="209"/>
      <c r="C56" s="209"/>
      <c r="D56" s="209"/>
      <c r="E56" s="209"/>
      <c r="F56" s="209"/>
    </row>
    <row r="57" spans="1:6" ht="12">
      <c r="A57" s="210"/>
      <c r="B57" s="209"/>
      <c r="C57" s="209"/>
      <c r="D57" s="209"/>
      <c r="E57" s="209"/>
      <c r="F57" s="209"/>
    </row>
    <row r="58" spans="1:6" ht="12">
      <c r="A58" s="210"/>
      <c r="B58" s="209"/>
      <c r="C58" s="209"/>
      <c r="D58" s="209"/>
      <c r="E58" s="209"/>
      <c r="F58" s="209"/>
    </row>
    <row r="59" spans="1:6" ht="12">
      <c r="A59" s="210"/>
      <c r="B59" s="209"/>
      <c r="C59" s="209"/>
      <c r="D59" s="209"/>
      <c r="E59" s="209"/>
      <c r="F59" s="209"/>
    </row>
    <row r="60" spans="1:10" ht="12">
      <c r="A60" s="209"/>
      <c r="B60" s="185"/>
      <c r="C60" s="185"/>
      <c r="D60" s="185"/>
      <c r="E60" s="185"/>
      <c r="F60" s="185"/>
      <c r="G60" s="185"/>
      <c r="H60" s="185"/>
      <c r="I60" s="185"/>
      <c r="J60" s="185"/>
    </row>
    <row r="61" ht="12">
      <c r="A61" s="185"/>
    </row>
    <row r="64" ht="12">
      <c r="J64" s="204" t="s">
        <v>49</v>
      </c>
    </row>
  </sheetData>
  <sheetProtection/>
  <mergeCells count="12">
    <mergeCell ref="A1:V1"/>
    <mergeCell ref="T2:V2"/>
    <mergeCell ref="T3:V3"/>
    <mergeCell ref="I4:J4"/>
    <mergeCell ref="U4:V4"/>
    <mergeCell ref="K4:L4"/>
    <mergeCell ref="M4:N4"/>
    <mergeCell ref="O4:P4"/>
    <mergeCell ref="B4:C4"/>
    <mergeCell ref="D4:E4"/>
    <mergeCell ref="F4:H4"/>
    <mergeCell ref="G5:H5"/>
  </mergeCells>
  <printOptions gridLines="1"/>
  <pageMargins left="0.56" right="0.18" top="0.95" bottom="0.74" header="0.45" footer="0.17"/>
  <pageSetup horizontalDpi="300" verticalDpi="300" orientation="landscape" scale="84" r:id="rId1"/>
  <headerFooter alignWithMargins="0">
    <oddHeader>&amp;C&amp;"Arial,Bold"&amp;UAnnexure - 3
&amp;U
Statewise Area and Production of Various Horticulture Crops for the Year 2007-08
&amp;R&amp;"Arial,Bold"&amp;8Area in 000' ha
Production in 000'M&amp;10T</oddHeader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44"/>
  <sheetViews>
    <sheetView showZeros="0" view="pageBreakPreview" zoomScaleSheetLayoutView="100" zoomScalePageLayoutView="0" workbookViewId="0" topLeftCell="A1">
      <selection activeCell="A1" sqref="A1:IV3"/>
    </sheetView>
  </sheetViews>
  <sheetFormatPr defaultColWidth="9.140625" defaultRowHeight="12.75"/>
  <cols>
    <col min="1" max="1" width="17.57421875" style="77" customWidth="1"/>
    <col min="2" max="2" width="4.57421875" style="77" customWidth="1"/>
    <col min="3" max="4" width="5.57421875" style="77" customWidth="1"/>
    <col min="5" max="5" width="6.57421875" style="77" customWidth="1"/>
    <col min="6" max="6" width="5.00390625" style="77" customWidth="1"/>
    <col min="7" max="7" width="6.57421875" style="77" customWidth="1"/>
    <col min="8" max="8" width="4.57421875" style="77" customWidth="1"/>
    <col min="9" max="9" width="5.7109375" style="77" customWidth="1"/>
    <col min="10" max="10" width="5.421875" style="77" customWidth="1"/>
    <col min="11" max="11" width="5.7109375" style="77" customWidth="1"/>
    <col min="12" max="12" width="4.7109375" style="77" customWidth="1"/>
    <col min="13" max="14" width="5.57421875" style="77" customWidth="1"/>
    <col min="15" max="15" width="6.7109375" style="77" customWidth="1"/>
    <col min="16" max="16" width="5.421875" style="77" customWidth="1"/>
    <col min="17" max="17" width="5.57421875" style="77" customWidth="1"/>
    <col min="18" max="18" width="5.28125" style="77" customWidth="1"/>
    <col min="19" max="19" width="5.421875" style="77" customWidth="1"/>
    <col min="20" max="20" width="4.57421875" style="77" customWidth="1"/>
    <col min="21" max="21" width="5.28125" style="77" customWidth="1"/>
    <col min="22" max="22" width="5.00390625" style="77" customWidth="1"/>
    <col min="23" max="23" width="6.00390625" style="77" customWidth="1"/>
    <col min="24" max="24" width="5.7109375" style="77" customWidth="1"/>
    <col min="25" max="25" width="7.421875" style="77" customWidth="1"/>
    <col min="26" max="26" width="5.8515625" style="77" customWidth="1"/>
    <col min="27" max="27" width="6.57421875" style="77" customWidth="1"/>
    <col min="28" max="16384" width="9.140625" style="77" customWidth="1"/>
  </cols>
  <sheetData>
    <row r="1" spans="1:23" ht="12">
      <c r="A1" s="298" t="s">
        <v>153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41"/>
    </row>
    <row r="2" spans="1:23" ht="12">
      <c r="A2" s="261"/>
      <c r="B2" s="242"/>
      <c r="C2" s="242"/>
      <c r="D2" s="252"/>
      <c r="E2" s="252"/>
      <c r="F2" s="252"/>
      <c r="G2" s="252"/>
      <c r="H2" s="252"/>
      <c r="I2" s="252"/>
      <c r="J2" s="252"/>
      <c r="K2" s="259"/>
      <c r="L2" s="259"/>
      <c r="M2" s="241"/>
      <c r="N2" s="241"/>
      <c r="O2" s="252"/>
      <c r="P2" s="252"/>
      <c r="Q2" s="252"/>
      <c r="R2" s="252"/>
      <c r="S2" s="252"/>
      <c r="T2" s="299" t="s">
        <v>148</v>
      </c>
      <c r="U2" s="299"/>
      <c r="V2" s="299"/>
      <c r="W2" s="241"/>
    </row>
    <row r="3" spans="1:23" ht="12">
      <c r="A3" s="261"/>
      <c r="B3" s="242"/>
      <c r="C3" s="242"/>
      <c r="D3" s="252"/>
      <c r="E3" s="252"/>
      <c r="F3" s="252"/>
      <c r="G3" s="252"/>
      <c r="H3" s="252"/>
      <c r="I3" s="252"/>
      <c r="J3" s="252"/>
      <c r="K3" s="259"/>
      <c r="L3" s="259"/>
      <c r="M3" s="241"/>
      <c r="N3" s="241"/>
      <c r="O3" s="252"/>
      <c r="P3" s="252"/>
      <c r="Q3" s="252"/>
      <c r="R3" s="252"/>
      <c r="S3" s="252"/>
      <c r="T3" s="300" t="s">
        <v>149</v>
      </c>
      <c r="U3" s="300"/>
      <c r="V3" s="300"/>
      <c r="W3" s="300"/>
    </row>
    <row r="4" spans="1:27" ht="11.25">
      <c r="A4" s="159" t="s">
        <v>0</v>
      </c>
      <c r="B4" s="287" t="s">
        <v>1</v>
      </c>
      <c r="C4" s="287"/>
      <c r="D4" s="287" t="s">
        <v>2</v>
      </c>
      <c r="E4" s="287"/>
      <c r="F4" s="287" t="s">
        <v>3</v>
      </c>
      <c r="G4" s="287"/>
      <c r="H4" s="287" t="s">
        <v>4</v>
      </c>
      <c r="I4" s="287"/>
      <c r="J4" s="287" t="s">
        <v>5</v>
      </c>
      <c r="K4" s="287"/>
      <c r="L4" s="287" t="s">
        <v>6</v>
      </c>
      <c r="M4" s="287"/>
      <c r="N4" s="287" t="s">
        <v>7</v>
      </c>
      <c r="O4" s="287"/>
      <c r="P4" s="287" t="s">
        <v>8</v>
      </c>
      <c r="Q4" s="287"/>
      <c r="R4" s="287" t="s">
        <v>9</v>
      </c>
      <c r="S4" s="287"/>
      <c r="T4" s="287" t="s">
        <v>10</v>
      </c>
      <c r="U4" s="287"/>
      <c r="V4" s="287" t="s">
        <v>11</v>
      </c>
      <c r="W4" s="287"/>
      <c r="X4" s="287" t="s">
        <v>12</v>
      </c>
      <c r="Y4" s="287"/>
      <c r="Z4" s="287" t="s">
        <v>13</v>
      </c>
      <c r="AA4" s="287"/>
    </row>
    <row r="5" spans="1:27" ht="11.25">
      <c r="A5" s="159"/>
      <c r="B5" s="160" t="s">
        <v>14</v>
      </c>
      <c r="C5" s="160" t="s">
        <v>15</v>
      </c>
      <c r="D5" s="160" t="s">
        <v>14</v>
      </c>
      <c r="E5" s="160" t="s">
        <v>15</v>
      </c>
      <c r="F5" s="160" t="s">
        <v>14</v>
      </c>
      <c r="G5" s="160" t="s">
        <v>15</v>
      </c>
      <c r="H5" s="160" t="s">
        <v>14</v>
      </c>
      <c r="I5" s="160" t="s">
        <v>15</v>
      </c>
      <c r="J5" s="160" t="s">
        <v>14</v>
      </c>
      <c r="K5" s="160" t="s">
        <v>15</v>
      </c>
      <c r="L5" s="160" t="s">
        <v>14</v>
      </c>
      <c r="M5" s="160" t="s">
        <v>15</v>
      </c>
      <c r="N5" s="160" t="s">
        <v>14</v>
      </c>
      <c r="O5" s="160" t="s">
        <v>15</v>
      </c>
      <c r="P5" s="160" t="s">
        <v>14</v>
      </c>
      <c r="Q5" s="160" t="s">
        <v>15</v>
      </c>
      <c r="R5" s="160" t="s">
        <v>14</v>
      </c>
      <c r="S5" s="160" t="s">
        <v>15</v>
      </c>
      <c r="T5" s="160" t="s">
        <v>14</v>
      </c>
      <c r="U5" s="160" t="s">
        <v>15</v>
      </c>
      <c r="V5" s="160" t="s">
        <v>14</v>
      </c>
      <c r="W5" s="160" t="s">
        <v>15</v>
      </c>
      <c r="X5" s="160" t="s">
        <v>14</v>
      </c>
      <c r="Y5" s="160" t="s">
        <v>15</v>
      </c>
      <c r="Z5" s="160" t="s">
        <v>14</v>
      </c>
      <c r="AA5" s="160" t="s">
        <v>15</v>
      </c>
    </row>
    <row r="6" spans="1:27" ht="11.25">
      <c r="A6" s="76" t="s">
        <v>16</v>
      </c>
      <c r="B6" s="62"/>
      <c r="C6" s="62"/>
      <c r="D6" s="62">
        <v>1.529</v>
      </c>
      <c r="E6" s="62">
        <v>13.547</v>
      </c>
      <c r="F6" s="62">
        <v>0.249</v>
      </c>
      <c r="G6" s="62">
        <v>1.345</v>
      </c>
      <c r="H6" s="62"/>
      <c r="I6" s="62"/>
      <c r="J6" s="62"/>
      <c r="K6" s="62"/>
      <c r="L6" s="62"/>
      <c r="M6" s="62"/>
      <c r="N6" s="62">
        <v>0.256</v>
      </c>
      <c r="O6" s="62">
        <v>1.847</v>
      </c>
      <c r="P6" s="62">
        <v>0.371</v>
      </c>
      <c r="Q6" s="62">
        <v>2.183</v>
      </c>
      <c r="R6" s="62">
        <v>0.166</v>
      </c>
      <c r="S6" s="62">
        <v>1.077</v>
      </c>
      <c r="T6" s="62"/>
      <c r="U6" s="62"/>
      <c r="V6" s="62">
        <v>0.124</v>
      </c>
      <c r="W6" s="62">
        <v>0.896</v>
      </c>
      <c r="X6" s="62">
        <v>0.266</v>
      </c>
      <c r="Y6" s="62">
        <v>1.562</v>
      </c>
      <c r="Z6" s="161">
        <f aca="true" t="shared" si="0" ref="Z6:Z41">B6+D6+F6+H6+J6+L6+N6+P6+R6+T6+V6+X6</f>
        <v>2.961</v>
      </c>
      <c r="AA6" s="161">
        <f aca="true" t="shared" si="1" ref="AA6:AA41">C6+E6+G6+I6+K6+M6+O6+Q6+S6+U6+W6+Y6</f>
        <v>22.457000000000004</v>
      </c>
    </row>
    <row r="7" spans="1:27" ht="11.25">
      <c r="A7" s="76" t="s">
        <v>17</v>
      </c>
      <c r="B7" s="62">
        <v>0</v>
      </c>
      <c r="C7" s="62">
        <v>0</v>
      </c>
      <c r="D7" s="62">
        <v>75.177</v>
      </c>
      <c r="E7" s="62">
        <v>2631.195</v>
      </c>
      <c r="F7" s="62">
        <f>194.395+58.866</f>
        <v>253.26100000000002</v>
      </c>
      <c r="G7" s="62">
        <f>2624.333+882.99</f>
        <v>3507.3230000000003</v>
      </c>
      <c r="H7" s="62">
        <v>2.764</v>
      </c>
      <c r="I7" s="62">
        <v>58.044</v>
      </c>
      <c r="J7" s="62">
        <v>9.626</v>
      </c>
      <c r="K7" s="62">
        <v>144.39</v>
      </c>
      <c r="L7" s="62">
        <v>0</v>
      </c>
      <c r="M7" s="62">
        <v>0</v>
      </c>
      <c r="N7" s="62">
        <v>483.48</v>
      </c>
      <c r="O7" s="62">
        <v>4157.928</v>
      </c>
      <c r="P7" s="62">
        <v>14.945</v>
      </c>
      <c r="Q7" s="62">
        <v>1195.616</v>
      </c>
      <c r="R7" s="62">
        <v>0</v>
      </c>
      <c r="S7" s="62">
        <v>0</v>
      </c>
      <c r="T7" s="62">
        <v>5.7</v>
      </c>
      <c r="U7" s="62">
        <v>85.5</v>
      </c>
      <c r="V7" s="62">
        <v>18.731</v>
      </c>
      <c r="W7" s="62">
        <v>187.31</v>
      </c>
      <c r="X7" s="62">
        <f>2.429+23.249</f>
        <v>25.677999999999997</v>
      </c>
      <c r="Y7" s="62">
        <f>14.574+232.49</f>
        <v>247.06400000000002</v>
      </c>
      <c r="Z7" s="162">
        <f t="shared" si="0"/>
        <v>889.3620000000001</v>
      </c>
      <c r="AA7" s="162">
        <f t="shared" si="1"/>
        <v>12214.37</v>
      </c>
    </row>
    <row r="8" spans="1:27" ht="11.25">
      <c r="A8" s="76" t="s">
        <v>18</v>
      </c>
      <c r="B8" s="62">
        <v>10.8</v>
      </c>
      <c r="C8" s="62">
        <v>9.8</v>
      </c>
      <c r="D8" s="62">
        <v>5.3</v>
      </c>
      <c r="E8" s="62">
        <v>15.3</v>
      </c>
      <c r="F8" s="62">
        <v>25</v>
      </c>
      <c r="G8" s="62">
        <v>28.4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>
        <v>9.3</v>
      </c>
      <c r="S8" s="62">
        <v>37.8</v>
      </c>
      <c r="T8" s="62"/>
      <c r="U8" s="62"/>
      <c r="V8" s="62"/>
      <c r="W8" s="62"/>
      <c r="X8" s="62">
        <v>7.2</v>
      </c>
      <c r="Y8" s="62">
        <v>16.7</v>
      </c>
      <c r="Z8" s="162">
        <f t="shared" si="0"/>
        <v>57.60000000000001</v>
      </c>
      <c r="AA8" s="162">
        <f t="shared" si="1"/>
        <v>108</v>
      </c>
    </row>
    <row r="9" spans="1:27" ht="11.25">
      <c r="A9" s="162" t="s">
        <v>19</v>
      </c>
      <c r="B9" s="62">
        <v>0</v>
      </c>
      <c r="C9" s="62">
        <v>0</v>
      </c>
      <c r="D9" s="62">
        <v>44.1</v>
      </c>
      <c r="E9" s="62">
        <v>610.9</v>
      </c>
      <c r="F9" s="62">
        <v>19</v>
      </c>
      <c r="G9" s="62">
        <v>163.4</v>
      </c>
      <c r="H9" s="62">
        <v>0</v>
      </c>
      <c r="I9" s="62">
        <v>0</v>
      </c>
      <c r="J9" s="62">
        <v>4.4</v>
      </c>
      <c r="K9" s="62">
        <v>79.2</v>
      </c>
      <c r="L9" s="62">
        <v>4.8</v>
      </c>
      <c r="M9" s="62">
        <v>34</v>
      </c>
      <c r="N9" s="62">
        <v>4.5</v>
      </c>
      <c r="O9" s="62">
        <v>39.6</v>
      </c>
      <c r="P9" s="62">
        <v>7</v>
      </c>
      <c r="Q9" s="62">
        <v>107.1</v>
      </c>
      <c r="R9" s="62">
        <v>12.7</v>
      </c>
      <c r="S9" s="62">
        <v>195.7</v>
      </c>
      <c r="T9" s="62">
        <v>0</v>
      </c>
      <c r="U9" s="62">
        <v>0</v>
      </c>
      <c r="V9" s="62">
        <v>0</v>
      </c>
      <c r="W9" s="62">
        <v>0</v>
      </c>
      <c r="X9" s="62">
        <v>26.2</v>
      </c>
      <c r="Y9" s="62">
        <v>180.8</v>
      </c>
      <c r="Z9" s="162">
        <f t="shared" si="0"/>
        <v>122.7</v>
      </c>
      <c r="AA9" s="162">
        <f t="shared" si="1"/>
        <v>1410.7</v>
      </c>
    </row>
    <row r="10" spans="1:27" ht="11.25">
      <c r="A10" s="76" t="s">
        <v>20</v>
      </c>
      <c r="B10" s="62">
        <v>0</v>
      </c>
      <c r="C10" s="62">
        <v>0</v>
      </c>
      <c r="D10" s="62">
        <v>30.5</v>
      </c>
      <c r="E10" s="62">
        <v>1329.4</v>
      </c>
      <c r="F10" s="62">
        <v>17.6</v>
      </c>
      <c r="G10" s="62">
        <v>125.8</v>
      </c>
      <c r="H10" s="62"/>
      <c r="I10" s="62"/>
      <c r="J10" s="62">
        <v>28.7</v>
      </c>
      <c r="K10" s="62">
        <v>255.7</v>
      </c>
      <c r="L10" s="62">
        <v>29.8</v>
      </c>
      <c r="M10" s="62">
        <v>223.2</v>
      </c>
      <c r="N10" s="62">
        <v>142.2</v>
      </c>
      <c r="O10" s="62">
        <v>870.4</v>
      </c>
      <c r="P10" s="62">
        <v>1.3</v>
      </c>
      <c r="Q10" s="62">
        <v>30.4</v>
      </c>
      <c r="R10" s="62">
        <v>4.6</v>
      </c>
      <c r="S10" s="62">
        <v>126.8</v>
      </c>
      <c r="T10" s="62">
        <v>0</v>
      </c>
      <c r="U10" s="62">
        <v>0</v>
      </c>
      <c r="V10" s="62">
        <v>0</v>
      </c>
      <c r="W10" s="62">
        <v>0</v>
      </c>
      <c r="X10" s="62">
        <v>31.6</v>
      </c>
      <c r="Y10" s="62">
        <v>290.7</v>
      </c>
      <c r="Z10" s="162">
        <f t="shared" si="0"/>
        <v>286.3</v>
      </c>
      <c r="AA10" s="162">
        <f t="shared" si="1"/>
        <v>3252.4</v>
      </c>
    </row>
    <row r="11" spans="1:27" s="165" customFormat="1" ht="11.25">
      <c r="A11" s="163" t="s">
        <v>21</v>
      </c>
      <c r="B11" s="164">
        <v>0</v>
      </c>
      <c r="C11" s="164">
        <v>0</v>
      </c>
      <c r="D11" s="164">
        <v>0</v>
      </c>
      <c r="E11" s="164">
        <v>0</v>
      </c>
      <c r="F11" s="164">
        <v>0</v>
      </c>
      <c r="G11" s="164">
        <v>0.2</v>
      </c>
      <c r="H11" s="164">
        <v>0</v>
      </c>
      <c r="I11" s="164">
        <v>0</v>
      </c>
      <c r="J11" s="164">
        <v>0</v>
      </c>
      <c r="K11" s="164">
        <v>0.3</v>
      </c>
      <c r="L11" s="164">
        <v>0</v>
      </c>
      <c r="M11" s="164">
        <v>0.1</v>
      </c>
      <c r="N11" s="164">
        <v>0</v>
      </c>
      <c r="O11" s="164">
        <v>0.4</v>
      </c>
      <c r="P11" s="164">
        <v>0</v>
      </c>
      <c r="Q11" s="164">
        <v>0</v>
      </c>
      <c r="R11" s="164">
        <v>0</v>
      </c>
      <c r="S11" s="164">
        <v>0</v>
      </c>
      <c r="T11" s="164"/>
      <c r="U11" s="164"/>
      <c r="V11" s="164">
        <v>0</v>
      </c>
      <c r="W11" s="164">
        <v>0</v>
      </c>
      <c r="X11" s="164">
        <v>0.1</v>
      </c>
      <c r="Y11" s="164">
        <v>0.1</v>
      </c>
      <c r="Z11" s="161">
        <f aca="true" t="shared" si="2" ref="Z11:Z16">B11+D11+F11+H11+J11+L11+N11+P11+R11+T11+V11+X11</f>
        <v>0.1</v>
      </c>
      <c r="AA11" s="161">
        <f aca="true" t="shared" si="3" ref="AA11:AA16">C11+E11+G11+I11+K11+M11+O11+Q11+S11+U11+W11+Y11</f>
        <v>1.1</v>
      </c>
    </row>
    <row r="12" spans="1:27" ht="11.25">
      <c r="A12" s="76" t="s">
        <v>22</v>
      </c>
      <c r="B12" s="62">
        <v>0</v>
      </c>
      <c r="C12" s="62">
        <v>0</v>
      </c>
      <c r="D12" s="62">
        <v>8.6</v>
      </c>
      <c r="E12" s="62">
        <v>227.7</v>
      </c>
      <c r="F12" s="62">
        <v>8.2</v>
      </c>
      <c r="G12" s="62">
        <v>42.9</v>
      </c>
      <c r="H12" s="62">
        <v>0</v>
      </c>
      <c r="I12" s="62">
        <v>0</v>
      </c>
      <c r="J12" s="62">
        <v>10.3</v>
      </c>
      <c r="K12" s="62">
        <v>81.4</v>
      </c>
      <c r="L12" s="62">
        <v>1.7</v>
      </c>
      <c r="M12" s="62">
        <v>0.9</v>
      </c>
      <c r="N12" s="62">
        <v>36.3</v>
      </c>
      <c r="O12" s="62">
        <v>119</v>
      </c>
      <c r="P12" s="62">
        <v>7.4</v>
      </c>
      <c r="Q12" s="62">
        <v>136.1</v>
      </c>
      <c r="R12" s="62">
        <v>0</v>
      </c>
      <c r="S12" s="62">
        <v>0</v>
      </c>
      <c r="T12" s="62">
        <v>0</v>
      </c>
      <c r="U12" s="62">
        <v>0.2</v>
      </c>
      <c r="V12" s="62">
        <v>0.2</v>
      </c>
      <c r="W12" s="62">
        <v>0.6</v>
      </c>
      <c r="X12" s="62">
        <v>35</v>
      </c>
      <c r="Y12" s="62">
        <v>306.3</v>
      </c>
      <c r="Z12" s="162">
        <f t="shared" si="2"/>
        <v>107.7</v>
      </c>
      <c r="AA12" s="162">
        <f t="shared" si="3"/>
        <v>915.1000000000001</v>
      </c>
    </row>
    <row r="13" spans="1:27" ht="11.25">
      <c r="A13" s="166" t="s">
        <v>23</v>
      </c>
      <c r="B13" s="167">
        <v>0</v>
      </c>
      <c r="C13" s="167">
        <v>0</v>
      </c>
      <c r="D13" s="167">
        <v>0.04</v>
      </c>
      <c r="E13" s="167">
        <v>1.2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1.2</v>
      </c>
      <c r="O13" s="167">
        <v>12.5</v>
      </c>
      <c r="P13" s="167">
        <v>0</v>
      </c>
      <c r="Q13" s="167">
        <v>0</v>
      </c>
      <c r="R13" s="167">
        <v>0</v>
      </c>
      <c r="S13" s="167">
        <v>0</v>
      </c>
      <c r="T13" s="167"/>
      <c r="U13" s="167"/>
      <c r="V13" s="167">
        <v>0</v>
      </c>
      <c r="W13" s="167">
        <v>0</v>
      </c>
      <c r="X13" s="167">
        <v>0.6</v>
      </c>
      <c r="Y13" s="167">
        <v>6</v>
      </c>
      <c r="Z13" s="161">
        <f t="shared" si="2"/>
        <v>1.8399999999999999</v>
      </c>
      <c r="AA13" s="161">
        <f t="shared" si="3"/>
        <v>19.7</v>
      </c>
    </row>
    <row r="14" spans="1:27" ht="11.25">
      <c r="A14" s="166" t="s">
        <v>24</v>
      </c>
      <c r="B14" s="167"/>
      <c r="C14" s="167"/>
      <c r="D14" s="167">
        <v>0.001</v>
      </c>
      <c r="E14" s="167">
        <v>0.015</v>
      </c>
      <c r="F14" s="167"/>
      <c r="G14" s="167"/>
      <c r="H14" s="167"/>
      <c r="I14" s="167"/>
      <c r="J14" s="167">
        <v>0.003</v>
      </c>
      <c r="K14" s="167">
        <v>0.001</v>
      </c>
      <c r="L14" s="167"/>
      <c r="M14" s="167"/>
      <c r="N14" s="167">
        <v>0.001</v>
      </c>
      <c r="O14" s="167">
        <v>0.001</v>
      </c>
      <c r="P14" s="167">
        <v>0.001</v>
      </c>
      <c r="Q14" s="167">
        <v>0.001</v>
      </c>
      <c r="R14" s="167"/>
      <c r="S14" s="167"/>
      <c r="T14" s="167"/>
      <c r="U14" s="167"/>
      <c r="V14" s="167">
        <v>0.009</v>
      </c>
      <c r="W14" s="167">
        <v>0.004</v>
      </c>
      <c r="X14" s="167">
        <v>0.002</v>
      </c>
      <c r="Y14" s="167">
        <v>0.001</v>
      </c>
      <c r="Z14" s="161">
        <f t="shared" si="2"/>
        <v>0.017</v>
      </c>
      <c r="AA14" s="161">
        <f t="shared" si="3"/>
        <v>0.023000000000000003</v>
      </c>
    </row>
    <row r="15" spans="1:27" ht="11.25">
      <c r="A15" s="76" t="s">
        <v>25</v>
      </c>
      <c r="B15" s="62">
        <v>0</v>
      </c>
      <c r="C15" s="62">
        <v>0</v>
      </c>
      <c r="D15" s="62">
        <v>0</v>
      </c>
      <c r="E15" s="62">
        <v>0</v>
      </c>
      <c r="F15" s="62">
        <v>0.018</v>
      </c>
      <c r="G15" s="62">
        <v>0.27</v>
      </c>
      <c r="H15" s="62">
        <v>0</v>
      </c>
      <c r="I15" s="62">
        <v>0</v>
      </c>
      <c r="J15" s="62">
        <v>0.022</v>
      </c>
      <c r="K15" s="62">
        <v>0.432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0.015</v>
      </c>
      <c r="Y15" s="62">
        <v>0.285</v>
      </c>
      <c r="Z15" s="161">
        <f t="shared" si="2"/>
        <v>0.05499999999999999</v>
      </c>
      <c r="AA15" s="161">
        <f t="shared" si="3"/>
        <v>0.9869999999999999</v>
      </c>
    </row>
    <row r="16" spans="1:27" ht="11.25">
      <c r="A16" s="76" t="s">
        <v>26</v>
      </c>
      <c r="B16" s="62"/>
      <c r="C16" s="62"/>
      <c r="D16" s="62">
        <v>2.41</v>
      </c>
      <c r="E16" s="62">
        <v>29</v>
      </c>
      <c r="F16" s="62"/>
      <c r="G16" s="62"/>
      <c r="H16" s="62"/>
      <c r="I16" s="62"/>
      <c r="J16" s="62"/>
      <c r="K16" s="62"/>
      <c r="L16" s="62"/>
      <c r="M16" s="62"/>
      <c r="N16" s="62">
        <v>4.48</v>
      </c>
      <c r="O16" s="62">
        <v>22.5</v>
      </c>
      <c r="P16" s="62"/>
      <c r="Q16" s="62"/>
      <c r="R16" s="62">
        <v>0.35</v>
      </c>
      <c r="S16" s="62">
        <v>5.25</v>
      </c>
      <c r="T16" s="62"/>
      <c r="U16" s="62"/>
      <c r="V16" s="62"/>
      <c r="W16" s="62"/>
      <c r="X16" s="62">
        <v>3.71</v>
      </c>
      <c r="Y16" s="62">
        <v>41</v>
      </c>
      <c r="Z16" s="161">
        <f t="shared" si="2"/>
        <v>10.95</v>
      </c>
      <c r="AA16" s="161">
        <f t="shared" si="3"/>
        <v>97.75</v>
      </c>
    </row>
    <row r="17" spans="1:27" ht="11.25">
      <c r="A17" s="76" t="s">
        <v>27</v>
      </c>
      <c r="B17" s="62">
        <v>0</v>
      </c>
      <c r="C17" s="62">
        <v>0</v>
      </c>
      <c r="D17" s="62">
        <v>57.7</v>
      </c>
      <c r="E17" s="62">
        <v>3157.7</v>
      </c>
      <c r="F17" s="62">
        <v>34.6</v>
      </c>
      <c r="G17" s="62">
        <v>360.2</v>
      </c>
      <c r="H17" s="62">
        <v>0</v>
      </c>
      <c r="I17" s="62">
        <v>0</v>
      </c>
      <c r="J17" s="62">
        <v>8.6</v>
      </c>
      <c r="K17" s="62">
        <v>131.1</v>
      </c>
      <c r="L17" s="62">
        <v>0</v>
      </c>
      <c r="M17" s="62">
        <v>0</v>
      </c>
      <c r="N17" s="62">
        <v>109.6</v>
      </c>
      <c r="O17" s="62">
        <v>930.1</v>
      </c>
      <c r="P17" s="62">
        <v>11.2</v>
      </c>
      <c r="Q17" s="62">
        <v>489</v>
      </c>
      <c r="R17" s="62">
        <v>0</v>
      </c>
      <c r="S17" s="62">
        <v>0</v>
      </c>
      <c r="T17" s="62">
        <v>5.6</v>
      </c>
      <c r="U17" s="62">
        <v>56.6</v>
      </c>
      <c r="V17" s="62">
        <v>26.5</v>
      </c>
      <c r="W17" s="62">
        <v>258.9</v>
      </c>
      <c r="X17" s="62">
        <v>53.1</v>
      </c>
      <c r="Y17" s="62">
        <v>466.1</v>
      </c>
      <c r="Z17" s="162">
        <f t="shared" si="0"/>
        <v>306.9</v>
      </c>
      <c r="AA17" s="162">
        <f t="shared" si="1"/>
        <v>5849.7</v>
      </c>
    </row>
    <row r="18" spans="1:27" ht="11.25">
      <c r="A18" s="76" t="s">
        <v>28</v>
      </c>
      <c r="B18" s="62">
        <v>0</v>
      </c>
      <c r="C18" s="62">
        <v>0</v>
      </c>
      <c r="D18" s="62">
        <v>0</v>
      </c>
      <c r="E18" s="62">
        <v>0</v>
      </c>
      <c r="F18" s="62">
        <v>8.2</v>
      </c>
      <c r="G18" s="62">
        <v>66.8</v>
      </c>
      <c r="H18" s="62">
        <v>0.1</v>
      </c>
      <c r="I18" s="62">
        <v>2.9</v>
      </c>
      <c r="J18" s="62">
        <v>6.1</v>
      </c>
      <c r="K18" s="62">
        <v>42.1</v>
      </c>
      <c r="L18" s="62">
        <v>0.2</v>
      </c>
      <c r="M18" s="62">
        <v>0.6</v>
      </c>
      <c r="N18" s="62">
        <v>8.6</v>
      </c>
      <c r="O18" s="62">
        <v>59.7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0.8</v>
      </c>
      <c r="W18" s="62">
        <v>3.8</v>
      </c>
      <c r="X18" s="62">
        <v>9.5</v>
      </c>
      <c r="Y18" s="62">
        <v>64.5</v>
      </c>
      <c r="Z18" s="162">
        <f t="shared" si="0"/>
        <v>33.5</v>
      </c>
      <c r="AA18" s="162">
        <f t="shared" si="1"/>
        <v>240.40000000000003</v>
      </c>
    </row>
    <row r="19" spans="1:27" ht="11.25">
      <c r="A19" s="76" t="s">
        <v>29</v>
      </c>
      <c r="B19" s="62">
        <v>94.5</v>
      </c>
      <c r="C19" s="62">
        <v>592.6</v>
      </c>
      <c r="D19" s="62">
        <v>0</v>
      </c>
      <c r="E19" s="62">
        <v>0</v>
      </c>
      <c r="F19" s="62">
        <v>21.4</v>
      </c>
      <c r="G19" s="62">
        <v>24.7</v>
      </c>
      <c r="H19" s="62">
        <v>0.1</v>
      </c>
      <c r="I19" s="62">
        <v>0.1</v>
      </c>
      <c r="J19" s="62">
        <v>2.3</v>
      </c>
      <c r="K19" s="62">
        <v>2.8</v>
      </c>
      <c r="L19" s="62">
        <v>3.9</v>
      </c>
      <c r="M19" s="62">
        <v>2.5</v>
      </c>
      <c r="N19" s="62">
        <v>39.1</v>
      </c>
      <c r="O19" s="62">
        <v>29.3</v>
      </c>
      <c r="P19" s="62">
        <v>0.2</v>
      </c>
      <c r="Q19" s="62">
        <v>0.9</v>
      </c>
      <c r="R19" s="62">
        <v>0</v>
      </c>
      <c r="S19" s="62">
        <v>0</v>
      </c>
      <c r="T19" s="62">
        <v>1</v>
      </c>
      <c r="U19" s="62">
        <v>0.2</v>
      </c>
      <c r="V19" s="62">
        <v>0</v>
      </c>
      <c r="W19" s="62">
        <v>0</v>
      </c>
      <c r="X19" s="62">
        <v>39.9</v>
      </c>
      <c r="Y19" s="62">
        <v>59.9</v>
      </c>
      <c r="Z19" s="162">
        <f t="shared" si="0"/>
        <v>202.4</v>
      </c>
      <c r="AA19" s="162">
        <f t="shared" si="1"/>
        <v>713</v>
      </c>
    </row>
    <row r="20" spans="1:27" ht="11.25">
      <c r="A20" s="166" t="s">
        <v>30</v>
      </c>
      <c r="B20" s="167">
        <v>126.4</v>
      </c>
      <c r="C20" s="167">
        <v>1268.5</v>
      </c>
      <c r="D20" s="167">
        <v>0</v>
      </c>
      <c r="E20" s="167">
        <v>0</v>
      </c>
      <c r="F20" s="167">
        <v>11.7</v>
      </c>
      <c r="G20" s="167">
        <v>19.1</v>
      </c>
      <c r="H20" s="167">
        <v>0.2</v>
      </c>
      <c r="I20" s="167">
        <v>0.5</v>
      </c>
      <c r="J20" s="167">
        <v>0</v>
      </c>
      <c r="K20" s="167">
        <v>0</v>
      </c>
      <c r="L20" s="167">
        <v>0</v>
      </c>
      <c r="M20" s="167">
        <v>0</v>
      </c>
      <c r="N20" s="167">
        <v>9.8</v>
      </c>
      <c r="O20" s="167">
        <v>17.8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46.8</v>
      </c>
      <c r="Y20" s="167">
        <v>129.9</v>
      </c>
      <c r="Z20" s="162">
        <f t="shared" si="0"/>
        <v>194.89999999999998</v>
      </c>
      <c r="AA20" s="162">
        <f t="shared" si="1"/>
        <v>1435.8</v>
      </c>
    </row>
    <row r="21" spans="1:27" ht="11.25">
      <c r="A21" s="76" t="s">
        <v>31</v>
      </c>
      <c r="B21" s="62"/>
      <c r="C21" s="62"/>
      <c r="D21" s="62">
        <v>2.6</v>
      </c>
      <c r="E21" s="62">
        <v>51.6</v>
      </c>
      <c r="F21" s="62">
        <v>5.8</v>
      </c>
      <c r="G21" s="62">
        <v>53.8</v>
      </c>
      <c r="H21" s="62"/>
      <c r="I21" s="62"/>
      <c r="J21" s="62">
        <v>5.1</v>
      </c>
      <c r="K21" s="62">
        <v>60.4</v>
      </c>
      <c r="L21" s="62">
        <v>3.3</v>
      </c>
      <c r="M21" s="62">
        <v>16.5</v>
      </c>
      <c r="N21" s="62">
        <v>8.8</v>
      </c>
      <c r="O21" s="62">
        <v>85.8</v>
      </c>
      <c r="P21" s="62"/>
      <c r="Q21" s="62"/>
      <c r="R21" s="62"/>
      <c r="S21" s="62"/>
      <c r="T21" s="62"/>
      <c r="U21" s="62"/>
      <c r="V21" s="62"/>
      <c r="W21" s="62"/>
      <c r="X21" s="62">
        <v>12</v>
      </c>
      <c r="Y21" s="62">
        <v>113.9</v>
      </c>
      <c r="Z21" s="162">
        <f t="shared" si="0"/>
        <v>37.6</v>
      </c>
      <c r="AA21" s="162">
        <f t="shared" si="1"/>
        <v>382</v>
      </c>
    </row>
    <row r="22" spans="1:27" ht="11.25">
      <c r="A22" s="76" t="s">
        <v>32</v>
      </c>
      <c r="B22" s="62"/>
      <c r="C22" s="62"/>
      <c r="D22" s="62">
        <v>70.472</v>
      </c>
      <c r="E22" s="62">
        <v>1793.284</v>
      </c>
      <c r="F22" s="62">
        <v>13.513</v>
      </c>
      <c r="G22" s="62">
        <v>295.68</v>
      </c>
      <c r="H22" s="62">
        <v>14.31</v>
      </c>
      <c r="I22" s="62">
        <v>258.814</v>
      </c>
      <c r="J22" s="62">
        <v>6.871</v>
      </c>
      <c r="K22" s="62">
        <v>134.783</v>
      </c>
      <c r="L22" s="62"/>
      <c r="M22" s="62"/>
      <c r="N22" s="62">
        <v>134.567</v>
      </c>
      <c r="O22" s="62">
        <v>1223.258</v>
      </c>
      <c r="P22" s="62">
        <v>5.214</v>
      </c>
      <c r="Q22" s="62">
        <v>389.54</v>
      </c>
      <c r="R22" s="62">
        <v>2.877</v>
      </c>
      <c r="S22" s="62">
        <v>177.431</v>
      </c>
      <c r="T22" s="62">
        <v>13.858</v>
      </c>
      <c r="U22" s="62">
        <v>134.109</v>
      </c>
      <c r="V22" s="62">
        <v>26.199</v>
      </c>
      <c r="W22" s="62">
        <v>283.59</v>
      </c>
      <c r="X22" s="62">
        <f>2.137+1.389+1.913+0.408+6.166</f>
        <v>12.013000000000002</v>
      </c>
      <c r="Y22" s="62">
        <f>24.496+13.262+14.839+13.077+244.409</f>
        <v>310.08299999999997</v>
      </c>
      <c r="Z22" s="162">
        <f t="shared" si="0"/>
        <v>299.894</v>
      </c>
      <c r="AA22" s="162">
        <f t="shared" si="1"/>
        <v>5000.571999999999</v>
      </c>
    </row>
    <row r="23" spans="1:27" ht="11.25">
      <c r="A23" s="76" t="s">
        <v>33</v>
      </c>
      <c r="B23" s="158">
        <v>0</v>
      </c>
      <c r="C23" s="62">
        <v>0</v>
      </c>
      <c r="D23" s="62">
        <v>61.5</v>
      </c>
      <c r="E23" s="158">
        <v>493.9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76.7</v>
      </c>
      <c r="O23" s="62">
        <v>445.4</v>
      </c>
      <c r="P23" s="62">
        <v>18.5</v>
      </c>
      <c r="Q23" s="62">
        <v>80.6</v>
      </c>
      <c r="R23" s="62">
        <v>12.5</v>
      </c>
      <c r="S23" s="62">
        <v>102.4</v>
      </c>
      <c r="T23" s="62">
        <v>0</v>
      </c>
      <c r="U23" s="62">
        <v>0</v>
      </c>
      <c r="V23" s="62">
        <v>0</v>
      </c>
      <c r="W23" s="62">
        <v>0</v>
      </c>
      <c r="X23" s="53">
        <v>154.1</v>
      </c>
      <c r="Y23" s="53">
        <v>1457.5</v>
      </c>
      <c r="Z23" s="162">
        <f t="shared" si="0"/>
        <v>323.29999999999995</v>
      </c>
      <c r="AA23" s="162">
        <f t="shared" si="1"/>
        <v>2579.8</v>
      </c>
    </row>
    <row r="24" spans="1:27" ht="11.25">
      <c r="A24" s="166" t="s">
        <v>34</v>
      </c>
      <c r="B24" s="164">
        <v>0</v>
      </c>
      <c r="C24" s="164">
        <v>0</v>
      </c>
      <c r="D24" s="164">
        <v>0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  <c r="O24" s="164">
        <v>0</v>
      </c>
      <c r="P24" s="164">
        <v>0</v>
      </c>
      <c r="Q24" s="164">
        <v>0</v>
      </c>
      <c r="R24" s="164">
        <v>0</v>
      </c>
      <c r="S24" s="164">
        <v>0</v>
      </c>
      <c r="T24" s="164"/>
      <c r="U24" s="164"/>
      <c r="V24" s="164">
        <v>0</v>
      </c>
      <c r="W24" s="164">
        <v>0</v>
      </c>
      <c r="X24" s="164">
        <v>0.35</v>
      </c>
      <c r="Y24" s="164">
        <v>1.24</v>
      </c>
      <c r="Z24" s="161">
        <f t="shared" si="0"/>
        <v>0.35</v>
      </c>
      <c r="AA24" s="161">
        <f t="shared" si="1"/>
        <v>1.24</v>
      </c>
    </row>
    <row r="25" spans="1:27" ht="11.25">
      <c r="A25" s="76" t="s">
        <v>35</v>
      </c>
      <c r="B25" s="62"/>
      <c r="C25" s="62"/>
      <c r="D25" s="62">
        <v>15.2</v>
      </c>
      <c r="E25" s="62">
        <v>788.2</v>
      </c>
      <c r="F25" s="62">
        <v>17.9</v>
      </c>
      <c r="G25" s="62">
        <v>286.4</v>
      </c>
      <c r="H25" s="62">
        <v>0.1</v>
      </c>
      <c r="I25" s="62">
        <v>3.5</v>
      </c>
      <c r="J25" s="62">
        <v>2.5</v>
      </c>
      <c r="K25" s="62">
        <v>50</v>
      </c>
      <c r="L25" s="62"/>
      <c r="M25" s="62"/>
      <c r="N25" s="62">
        <v>6.5</v>
      </c>
      <c r="O25" s="62">
        <v>58.9</v>
      </c>
      <c r="P25" s="62">
        <v>0.8</v>
      </c>
      <c r="Q25" s="62">
        <v>28.3</v>
      </c>
      <c r="R25" s="62"/>
      <c r="S25" s="62"/>
      <c r="T25" s="62"/>
      <c r="U25" s="62"/>
      <c r="V25" s="62"/>
      <c r="W25" s="62"/>
      <c r="X25" s="62">
        <v>3.6</v>
      </c>
      <c r="Y25" s="62">
        <v>21.8</v>
      </c>
      <c r="Z25" s="162">
        <f t="shared" si="0"/>
        <v>46.599999999999994</v>
      </c>
      <c r="AA25" s="162">
        <f t="shared" si="1"/>
        <v>1237.1</v>
      </c>
    </row>
    <row r="26" spans="1:27" ht="11.25">
      <c r="A26" s="76" t="s">
        <v>36</v>
      </c>
      <c r="B26" s="62"/>
      <c r="C26" s="62"/>
      <c r="D26" s="62">
        <v>80</v>
      </c>
      <c r="E26" s="62">
        <v>4962.9</v>
      </c>
      <c r="F26" s="62">
        <v>261.3</v>
      </c>
      <c r="G26" s="62">
        <v>1627.7</v>
      </c>
      <c r="H26" s="62">
        <v>45.6</v>
      </c>
      <c r="I26" s="62">
        <v>1290</v>
      </c>
      <c r="J26" s="62">
        <v>32</v>
      </c>
      <c r="K26" s="62">
        <v>250.5</v>
      </c>
      <c r="L26" s="62"/>
      <c r="M26" s="62"/>
      <c r="N26" s="62">
        <v>455.8</v>
      </c>
      <c r="O26" s="62">
        <v>710.9</v>
      </c>
      <c r="P26" s="62"/>
      <c r="Q26" s="62"/>
      <c r="R26" s="62"/>
      <c r="S26" s="62"/>
      <c r="T26" s="62">
        <v>96.5</v>
      </c>
      <c r="U26" s="62">
        <v>596.2</v>
      </c>
      <c r="V26" s="62">
        <v>65.3</v>
      </c>
      <c r="W26" s="62">
        <v>294.1</v>
      </c>
      <c r="X26" s="62">
        <v>395.8</v>
      </c>
      <c r="Y26" s="62">
        <v>1315.3</v>
      </c>
      <c r="Z26" s="162">
        <f t="shared" si="0"/>
        <v>1432.3</v>
      </c>
      <c r="AA26" s="162">
        <f t="shared" si="1"/>
        <v>11047.6</v>
      </c>
    </row>
    <row r="27" spans="1:27" ht="11.25">
      <c r="A27" s="166" t="s">
        <v>37</v>
      </c>
      <c r="B27" s="167"/>
      <c r="C27" s="167"/>
      <c r="D27" s="167">
        <v>4.7</v>
      </c>
      <c r="E27" s="167">
        <v>35</v>
      </c>
      <c r="F27" s="167">
        <v>6.3</v>
      </c>
      <c r="G27" s="167">
        <v>45.3</v>
      </c>
      <c r="H27" s="167"/>
      <c r="I27" s="167"/>
      <c r="J27" s="167">
        <v>0</v>
      </c>
      <c r="K27" s="167">
        <v>0</v>
      </c>
      <c r="L27" s="167"/>
      <c r="M27" s="167"/>
      <c r="N27" s="167">
        <v>0</v>
      </c>
      <c r="O27" s="167">
        <v>0</v>
      </c>
      <c r="P27" s="167">
        <v>0</v>
      </c>
      <c r="Q27" s="167">
        <v>0</v>
      </c>
      <c r="R27" s="167">
        <v>8.5</v>
      </c>
      <c r="S27" s="167">
        <v>72.4</v>
      </c>
      <c r="T27" s="167">
        <v>0</v>
      </c>
      <c r="U27" s="167"/>
      <c r="V27" s="167"/>
      <c r="W27" s="167"/>
      <c r="X27" s="167">
        <v>19.6</v>
      </c>
      <c r="Y27" s="167">
        <v>121</v>
      </c>
      <c r="Z27" s="162">
        <f t="shared" si="0"/>
        <v>39.1</v>
      </c>
      <c r="AA27" s="162">
        <f t="shared" si="1"/>
        <v>273.7</v>
      </c>
    </row>
    <row r="28" spans="1:27" ht="11.25">
      <c r="A28" s="76" t="s">
        <v>38</v>
      </c>
      <c r="B28" s="53">
        <v>0</v>
      </c>
      <c r="C28" s="53">
        <v>0</v>
      </c>
      <c r="D28" s="53">
        <v>5.6</v>
      </c>
      <c r="E28" s="53">
        <v>66.5</v>
      </c>
      <c r="F28" s="53">
        <v>8.3</v>
      </c>
      <c r="G28" s="53">
        <v>34.9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0.7</v>
      </c>
      <c r="Q28" s="53">
        <v>6.3</v>
      </c>
      <c r="R28" s="53">
        <v>9.6</v>
      </c>
      <c r="S28" s="53">
        <v>85.3</v>
      </c>
      <c r="T28" s="53">
        <v>0</v>
      </c>
      <c r="U28" s="53">
        <v>0</v>
      </c>
      <c r="V28" s="53">
        <v>0</v>
      </c>
      <c r="W28" s="53">
        <v>0</v>
      </c>
      <c r="X28" s="53">
        <v>4.3</v>
      </c>
      <c r="Y28" s="53">
        <v>42.3</v>
      </c>
      <c r="Z28" s="162">
        <f t="shared" si="0"/>
        <v>28.5</v>
      </c>
      <c r="AA28" s="162">
        <f t="shared" si="1"/>
        <v>235.3</v>
      </c>
    </row>
    <row r="29" spans="1:27" ht="11.25">
      <c r="A29" s="166" t="s">
        <v>39</v>
      </c>
      <c r="B29" s="167">
        <v>0</v>
      </c>
      <c r="C29" s="167">
        <v>0</v>
      </c>
      <c r="D29" s="167">
        <f>6.22+1</f>
        <v>7.22</v>
      </c>
      <c r="E29" s="167">
        <f>98.524</f>
        <v>98.524</v>
      </c>
      <c r="F29" s="167">
        <f>6.395+2.812</f>
        <v>9.206999999999999</v>
      </c>
      <c r="G29" s="167">
        <f>11.567</f>
        <v>11.567</v>
      </c>
      <c r="H29" s="167">
        <f>0.672+0.5</f>
        <v>1.1720000000000002</v>
      </c>
      <c r="I29" s="167">
        <v>10.416</v>
      </c>
      <c r="J29" s="167"/>
      <c r="K29" s="167"/>
      <c r="L29" s="167"/>
      <c r="M29" s="167"/>
      <c r="N29" s="167"/>
      <c r="O29" s="167"/>
      <c r="P29" s="167">
        <f>0.617</f>
        <v>0.617</v>
      </c>
      <c r="Q29" s="167">
        <v>15.505</v>
      </c>
      <c r="R29" s="167"/>
      <c r="S29" s="167"/>
      <c r="T29" s="167"/>
      <c r="U29" s="167"/>
      <c r="V29" s="167"/>
      <c r="W29" s="167"/>
      <c r="X29" s="167">
        <f>8.944+0.48+0.854+1.007+0.942+0.453+0.035+0.1+1.722+0.517</f>
        <v>15.053999999999998</v>
      </c>
      <c r="Y29" s="167">
        <f>44.72+5.969+6.132+0.716+9.867</f>
        <v>67.404</v>
      </c>
      <c r="Z29" s="162">
        <f t="shared" si="0"/>
        <v>33.269999999999996</v>
      </c>
      <c r="AA29" s="162">
        <f t="shared" si="1"/>
        <v>203.416</v>
      </c>
    </row>
    <row r="30" spans="1:27" s="65" customFormat="1" ht="11.25">
      <c r="A30" s="70" t="s">
        <v>40</v>
      </c>
      <c r="B30" s="71">
        <v>0.035</v>
      </c>
      <c r="C30" s="71">
        <v>0.05</v>
      </c>
      <c r="D30" s="71">
        <v>1.3</v>
      </c>
      <c r="E30" s="71">
        <v>16</v>
      </c>
      <c r="F30" s="71">
        <v>3.7</v>
      </c>
      <c r="G30" s="71">
        <v>17.03</v>
      </c>
      <c r="H30" s="71">
        <v>0.18</v>
      </c>
      <c r="I30" s="71">
        <v>0.1</v>
      </c>
      <c r="J30" s="71">
        <v>0.278</v>
      </c>
      <c r="K30" s="71">
        <v>1.4</v>
      </c>
      <c r="L30" s="71">
        <v>0.16</v>
      </c>
      <c r="M30" s="71">
        <v>0.17</v>
      </c>
      <c r="N30" s="71">
        <v>0.28</v>
      </c>
      <c r="O30" s="71">
        <v>0.4</v>
      </c>
      <c r="P30" s="71">
        <v>0.67</v>
      </c>
      <c r="Q30" s="71">
        <v>0.8</v>
      </c>
      <c r="R30" s="71">
        <v>2.245</v>
      </c>
      <c r="S30" s="71">
        <v>10</v>
      </c>
      <c r="T30" s="71">
        <v>0.08</v>
      </c>
      <c r="U30" s="71">
        <v>0.32</v>
      </c>
      <c r="V30" s="71"/>
      <c r="W30" s="71"/>
      <c r="X30" s="71">
        <v>2.8230000000000004</v>
      </c>
      <c r="Y30" s="71">
        <v>6.7</v>
      </c>
      <c r="Z30" s="49">
        <f t="shared" si="0"/>
        <v>11.751000000000001</v>
      </c>
      <c r="AA30" s="49">
        <f t="shared" si="1"/>
        <v>52.97</v>
      </c>
    </row>
    <row r="31" spans="1:27" ht="11.25">
      <c r="A31" s="76" t="s">
        <v>41</v>
      </c>
      <c r="B31" s="62">
        <v>0</v>
      </c>
      <c r="C31" s="62">
        <v>0</v>
      </c>
      <c r="D31" s="62">
        <v>23.1</v>
      </c>
      <c r="E31" s="62">
        <v>297.1</v>
      </c>
      <c r="F31" s="62">
        <v>26.8</v>
      </c>
      <c r="G31" s="62">
        <v>211.7</v>
      </c>
      <c r="H31" s="62">
        <v>0</v>
      </c>
      <c r="I31" s="62">
        <v>0</v>
      </c>
      <c r="J31" s="62">
        <v>14</v>
      </c>
      <c r="K31" s="62">
        <v>93.4</v>
      </c>
      <c r="L31" s="62">
        <v>4</v>
      </c>
      <c r="M31" s="62">
        <v>12.8</v>
      </c>
      <c r="N31" s="62">
        <v>148.2</v>
      </c>
      <c r="O31" s="62">
        <v>251.8</v>
      </c>
      <c r="P31" s="62">
        <v>0.8</v>
      </c>
      <c r="Q31" s="62">
        <v>14.7</v>
      </c>
      <c r="R31" s="62">
        <v>0.7</v>
      </c>
      <c r="S31" s="62">
        <v>7.5</v>
      </c>
      <c r="T31" s="62"/>
      <c r="U31" s="62"/>
      <c r="V31" s="62">
        <v>3.3</v>
      </c>
      <c r="W31" s="62">
        <v>14.6</v>
      </c>
      <c r="X31" s="62">
        <v>44.3</v>
      </c>
      <c r="Y31" s="62">
        <v>371.5</v>
      </c>
      <c r="Z31" s="162">
        <f t="shared" si="0"/>
        <v>265.2</v>
      </c>
      <c r="AA31" s="162">
        <f t="shared" si="1"/>
        <v>1275.1</v>
      </c>
    </row>
    <row r="32" spans="1:27" s="65" customFormat="1" ht="11.25">
      <c r="A32" s="70" t="s">
        <v>42</v>
      </c>
      <c r="B32" s="71">
        <v>0</v>
      </c>
      <c r="C32" s="71">
        <v>0</v>
      </c>
      <c r="D32" s="71">
        <v>0.805</v>
      </c>
      <c r="E32" s="71">
        <v>32.235</v>
      </c>
      <c r="F32" s="71">
        <v>0.021</v>
      </c>
      <c r="G32" s="71">
        <v>2.815</v>
      </c>
      <c r="H32" s="71">
        <v>0</v>
      </c>
      <c r="I32" s="71">
        <v>0</v>
      </c>
      <c r="J32" s="71">
        <v>0.121</v>
      </c>
      <c r="K32" s="71">
        <v>3.956</v>
      </c>
      <c r="L32" s="71">
        <v>0</v>
      </c>
      <c r="M32" s="71">
        <v>0</v>
      </c>
      <c r="N32" s="71">
        <v>0.425</v>
      </c>
      <c r="O32" s="71">
        <v>12.05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0.105</v>
      </c>
      <c r="W32" s="71">
        <v>0.337</v>
      </c>
      <c r="X32" s="71">
        <v>0.194</v>
      </c>
      <c r="Y32" s="71">
        <v>0.6</v>
      </c>
      <c r="Z32" s="49">
        <f t="shared" si="0"/>
        <v>1.671</v>
      </c>
      <c r="AA32" s="49">
        <f t="shared" si="1"/>
        <v>51.993</v>
      </c>
    </row>
    <row r="33" spans="1:27" ht="11.25">
      <c r="A33" s="76" t="s">
        <v>43</v>
      </c>
      <c r="B33" s="62"/>
      <c r="C33" s="62"/>
      <c r="D33" s="62"/>
      <c r="E33" s="62"/>
      <c r="F33" s="62">
        <v>35.4</v>
      </c>
      <c r="G33" s="62">
        <v>618.2</v>
      </c>
      <c r="H33" s="62">
        <v>1</v>
      </c>
      <c r="I33" s="62">
        <v>26.7</v>
      </c>
      <c r="J33" s="62">
        <v>8.2</v>
      </c>
      <c r="K33" s="62">
        <v>155.5</v>
      </c>
      <c r="L33" s="62">
        <v>1.5</v>
      </c>
      <c r="M33" s="62">
        <v>19.3</v>
      </c>
      <c r="N33" s="62">
        <v>6.5</v>
      </c>
      <c r="O33" s="62">
        <v>81</v>
      </c>
      <c r="P33" s="62"/>
      <c r="Q33" s="62"/>
      <c r="R33" s="62"/>
      <c r="S33" s="62"/>
      <c r="T33" s="62"/>
      <c r="U33" s="62"/>
      <c r="V33" s="62"/>
      <c r="W33" s="62"/>
      <c r="X33" s="62">
        <v>9</v>
      </c>
      <c r="Y33" s="62">
        <v>154.8</v>
      </c>
      <c r="Z33" s="162">
        <f t="shared" si="0"/>
        <v>61.599999999999994</v>
      </c>
      <c r="AA33" s="162">
        <f t="shared" si="1"/>
        <v>1055.5</v>
      </c>
    </row>
    <row r="34" spans="1:27" ht="11.25">
      <c r="A34" s="76" t="s">
        <v>44</v>
      </c>
      <c r="B34" s="53">
        <v>0</v>
      </c>
      <c r="C34" s="53">
        <v>0</v>
      </c>
      <c r="D34" s="53">
        <v>0.05</v>
      </c>
      <c r="E34" s="77">
        <v>0.525</v>
      </c>
      <c r="F34" s="53">
        <f>4.8+7.6+5.2+0.65+0.45</f>
        <v>18.699999999999996</v>
      </c>
      <c r="G34" s="53">
        <f>32.5+96+28+3.9+2.2</f>
        <v>162.6</v>
      </c>
      <c r="H34" s="53">
        <v>0.02</v>
      </c>
      <c r="I34" s="53">
        <v>0.12</v>
      </c>
      <c r="J34" s="53">
        <v>3.8</v>
      </c>
      <c r="K34" s="53">
        <v>40.5</v>
      </c>
      <c r="L34" s="53">
        <v>0</v>
      </c>
      <c r="M34" s="53">
        <v>0</v>
      </c>
      <c r="N34" s="53">
        <v>0</v>
      </c>
      <c r="O34" s="53">
        <v>0</v>
      </c>
      <c r="P34" s="53">
        <v>0.8</v>
      </c>
      <c r="Q34" s="53">
        <v>16</v>
      </c>
      <c r="R34" s="53">
        <v>0</v>
      </c>
      <c r="S34" s="53">
        <v>0</v>
      </c>
      <c r="T34" s="53">
        <v>0.45</v>
      </c>
      <c r="U34" s="53">
        <v>1.9</v>
      </c>
      <c r="V34" s="53">
        <v>0</v>
      </c>
      <c r="W34" s="53">
        <v>0</v>
      </c>
      <c r="X34" s="53">
        <f>3+12.8+0.02+0.6+1.4</f>
        <v>17.82</v>
      </c>
      <c r="Y34" s="53">
        <f>26+165+2.8+6.8+0.04</f>
        <v>200.64000000000001</v>
      </c>
      <c r="Z34" s="162">
        <f t="shared" si="0"/>
        <v>41.64</v>
      </c>
      <c r="AA34" s="162">
        <f>C34+D34+G34+I34+K34+M34+O34+Q34+S34+U34+W34+Y34</f>
        <v>421.81000000000006</v>
      </c>
    </row>
    <row r="35" spans="1:27" ht="11.25">
      <c r="A35" s="76" t="s">
        <v>45</v>
      </c>
      <c r="B35" s="168"/>
      <c r="C35" s="168"/>
      <c r="D35" s="168"/>
      <c r="E35" s="168"/>
      <c r="F35" s="168">
        <v>5.817</v>
      </c>
      <c r="G35" s="168">
        <v>9.671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>
        <v>3.482</v>
      </c>
      <c r="Y35" s="168">
        <v>4.263</v>
      </c>
      <c r="Z35" s="161">
        <f t="shared" si="0"/>
        <v>9.299</v>
      </c>
      <c r="AA35" s="161">
        <f t="shared" si="1"/>
        <v>13.934</v>
      </c>
    </row>
    <row r="36" spans="1:27" ht="11.25">
      <c r="A36" s="166" t="s">
        <v>46</v>
      </c>
      <c r="B36" s="167">
        <v>0</v>
      </c>
      <c r="C36" s="167">
        <v>0</v>
      </c>
      <c r="D36" s="167">
        <v>114.1</v>
      </c>
      <c r="E36" s="167">
        <v>6116.5</v>
      </c>
      <c r="F36" s="167">
        <v>11.4</v>
      </c>
      <c r="G36" s="167">
        <v>38.6</v>
      </c>
      <c r="H36" s="167">
        <v>2.8</v>
      </c>
      <c r="I36" s="167">
        <v>83.5</v>
      </c>
      <c r="J36" s="167">
        <v>8.5</v>
      </c>
      <c r="K36" s="167">
        <v>93.3</v>
      </c>
      <c r="L36" s="167">
        <v>0</v>
      </c>
      <c r="M36" s="167">
        <v>0.1</v>
      </c>
      <c r="N36" s="167">
        <v>136.6</v>
      </c>
      <c r="O36" s="167">
        <v>753.6</v>
      </c>
      <c r="P36" s="167">
        <v>0.4</v>
      </c>
      <c r="Q36" s="167">
        <v>66.4</v>
      </c>
      <c r="R36" s="167">
        <v>0.7</v>
      </c>
      <c r="S36" s="167">
        <v>22.8</v>
      </c>
      <c r="T36" s="167">
        <v>0.4</v>
      </c>
      <c r="U36" s="167">
        <v>9.1</v>
      </c>
      <c r="V36" s="167">
        <v>6.8</v>
      </c>
      <c r="W36" s="167">
        <v>168.8</v>
      </c>
      <c r="X36" s="167">
        <v>10.8</v>
      </c>
      <c r="Y36" s="167">
        <v>177.4</v>
      </c>
      <c r="Z36" s="162">
        <f t="shared" si="0"/>
        <v>292.49999999999994</v>
      </c>
      <c r="AA36" s="162">
        <f t="shared" si="1"/>
        <v>7530.100000000001</v>
      </c>
    </row>
    <row r="37" spans="1:27" ht="11.25">
      <c r="A37" s="76" t="s">
        <v>47</v>
      </c>
      <c r="B37" s="62"/>
      <c r="C37" s="62"/>
      <c r="D37" s="62">
        <v>6.2</v>
      </c>
      <c r="E37" s="62">
        <v>78.6</v>
      </c>
      <c r="F37" s="62">
        <v>5.2</v>
      </c>
      <c r="G37" s="62">
        <v>30.9</v>
      </c>
      <c r="H37" s="62"/>
      <c r="I37" s="62"/>
      <c r="J37" s="62">
        <v>0.8</v>
      </c>
      <c r="K37" s="62">
        <v>1.5</v>
      </c>
      <c r="L37" s="62">
        <v>2.6</v>
      </c>
      <c r="M37" s="62">
        <v>14.4</v>
      </c>
      <c r="N37" s="62">
        <v>3.7</v>
      </c>
      <c r="O37" s="62">
        <v>11.6</v>
      </c>
      <c r="P37" s="62">
        <v>1</v>
      </c>
      <c r="Q37" s="62">
        <v>10</v>
      </c>
      <c r="R37" s="62">
        <v>6.3</v>
      </c>
      <c r="S37" s="62">
        <v>116.9</v>
      </c>
      <c r="T37" s="62"/>
      <c r="U37" s="62"/>
      <c r="V37" s="62">
        <v>0.1</v>
      </c>
      <c r="W37" s="62">
        <v>1.5</v>
      </c>
      <c r="X37" s="62">
        <v>8</v>
      </c>
      <c r="Y37" s="62">
        <v>260.3</v>
      </c>
      <c r="Z37" s="162">
        <f t="shared" si="0"/>
        <v>33.900000000000006</v>
      </c>
      <c r="AA37" s="162">
        <f t="shared" si="1"/>
        <v>525.7</v>
      </c>
    </row>
    <row r="38" spans="1:28" ht="11.25">
      <c r="A38" s="76" t="s">
        <v>48</v>
      </c>
      <c r="B38" s="62">
        <v>0</v>
      </c>
      <c r="C38" s="62">
        <v>0</v>
      </c>
      <c r="D38" s="62">
        <v>2.221</v>
      </c>
      <c r="E38" s="62">
        <v>83.97</v>
      </c>
      <c r="F38" s="62">
        <v>0.678</v>
      </c>
      <c r="G38" s="62">
        <v>1.685</v>
      </c>
      <c r="H38" s="62">
        <v>0</v>
      </c>
      <c r="I38" s="62">
        <v>0</v>
      </c>
      <c r="J38" s="62">
        <v>15.11</v>
      </c>
      <c r="K38" s="62">
        <v>196.286</v>
      </c>
      <c r="L38" s="62">
        <v>0.275</v>
      </c>
      <c r="M38" s="62">
        <v>0.943</v>
      </c>
      <c r="N38" s="62">
        <v>265.887</v>
      </c>
      <c r="O38" s="62">
        <v>3364.996</v>
      </c>
      <c r="P38" s="62">
        <v>0.198</v>
      </c>
      <c r="Q38" s="62">
        <v>10.594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f>0.423+23.758+7.217</f>
        <v>31.397999999999996</v>
      </c>
      <c r="Y38" s="62">
        <f>10.575+135.421+128.096</f>
        <v>274.092</v>
      </c>
      <c r="Z38" s="162">
        <f t="shared" si="0"/>
        <v>315.76699999999994</v>
      </c>
      <c r="AA38" s="162">
        <f t="shared" si="1"/>
        <v>3932.5660000000003</v>
      </c>
      <c r="AB38" s="77" t="s">
        <v>49</v>
      </c>
    </row>
    <row r="39" spans="1:27" ht="11.25">
      <c r="A39" s="76" t="s">
        <v>50</v>
      </c>
      <c r="B39" s="62">
        <v>32.2</v>
      </c>
      <c r="C39" s="62">
        <v>130.5</v>
      </c>
      <c r="D39" s="62">
        <v>0</v>
      </c>
      <c r="E39" s="62">
        <v>0</v>
      </c>
      <c r="F39" s="62">
        <v>26.8</v>
      </c>
      <c r="G39" s="62">
        <v>127.4</v>
      </c>
      <c r="H39" s="62"/>
      <c r="I39" s="62"/>
      <c r="J39" s="62"/>
      <c r="K39" s="62"/>
      <c r="L39" s="62">
        <v>8.8</v>
      </c>
      <c r="M39" s="62">
        <v>15.1</v>
      </c>
      <c r="N39" s="62">
        <v>37</v>
      </c>
      <c r="O39" s="62">
        <v>112.7</v>
      </c>
      <c r="P39" s="62"/>
      <c r="Q39" s="62"/>
      <c r="R39" s="62"/>
      <c r="S39" s="62"/>
      <c r="T39" s="62"/>
      <c r="U39" s="62"/>
      <c r="V39" s="62"/>
      <c r="W39" s="62"/>
      <c r="X39" s="62">
        <v>66.5</v>
      </c>
      <c r="Y39" s="62">
        <v>332.1</v>
      </c>
      <c r="Z39" s="162">
        <f t="shared" si="0"/>
        <v>171.3</v>
      </c>
      <c r="AA39" s="162">
        <f t="shared" si="1"/>
        <v>717.8</v>
      </c>
    </row>
    <row r="40" spans="1:27" ht="11.25">
      <c r="A40" s="76" t="s">
        <v>51</v>
      </c>
      <c r="B40" s="62">
        <v>0</v>
      </c>
      <c r="C40" s="62">
        <v>0</v>
      </c>
      <c r="D40" s="62">
        <v>37.4</v>
      </c>
      <c r="E40" s="62">
        <v>892.2</v>
      </c>
      <c r="F40" s="62">
        <v>11</v>
      </c>
      <c r="G40" s="62">
        <v>98.5</v>
      </c>
      <c r="H40" s="62">
        <v>0</v>
      </c>
      <c r="I40" s="62">
        <v>0</v>
      </c>
      <c r="J40" s="62">
        <v>11.9</v>
      </c>
      <c r="K40" s="62">
        <v>162.2</v>
      </c>
      <c r="L40" s="62">
        <v>8.1</v>
      </c>
      <c r="M40" s="62">
        <v>77.8</v>
      </c>
      <c r="N40" s="62">
        <v>80.9</v>
      </c>
      <c r="O40" s="62">
        <v>623.3</v>
      </c>
      <c r="P40" s="62">
        <v>10.7</v>
      </c>
      <c r="Q40" s="62">
        <v>308.6</v>
      </c>
      <c r="R40" s="62">
        <v>9.5</v>
      </c>
      <c r="S40" s="62">
        <v>283.2</v>
      </c>
      <c r="T40" s="62">
        <v>0</v>
      </c>
      <c r="U40" s="62">
        <v>0</v>
      </c>
      <c r="V40" s="62">
        <v>3.9</v>
      </c>
      <c r="W40" s="62">
        <v>43.4</v>
      </c>
      <c r="X40" s="62">
        <v>21</v>
      </c>
      <c r="Y40" s="62">
        <v>277.4</v>
      </c>
      <c r="Z40" s="162">
        <f t="shared" si="0"/>
        <v>194.4</v>
      </c>
      <c r="AA40" s="162">
        <f t="shared" si="1"/>
        <v>2766.6</v>
      </c>
    </row>
    <row r="41" spans="1:27" ht="11.25">
      <c r="A41" s="76" t="s">
        <v>13</v>
      </c>
      <c r="B41" s="162">
        <f aca="true" t="shared" si="4" ref="B41:Y41">SUM(B6:B40)</f>
        <v>263.935</v>
      </c>
      <c r="C41" s="162">
        <f t="shared" si="4"/>
        <v>2001.45</v>
      </c>
      <c r="D41" s="162">
        <f t="shared" si="4"/>
        <v>657.825</v>
      </c>
      <c r="E41" s="162">
        <f t="shared" si="4"/>
        <v>23822.995000000003</v>
      </c>
      <c r="F41" s="162">
        <f t="shared" si="4"/>
        <v>867.0639999999999</v>
      </c>
      <c r="G41" s="162">
        <f t="shared" si="4"/>
        <v>8014.886</v>
      </c>
      <c r="H41" s="162">
        <f t="shared" si="4"/>
        <v>68.346</v>
      </c>
      <c r="I41" s="162">
        <f t="shared" si="4"/>
        <v>1734.6939999999997</v>
      </c>
      <c r="J41" s="162">
        <f t="shared" si="4"/>
        <v>179.23100000000002</v>
      </c>
      <c r="K41" s="162">
        <f t="shared" si="4"/>
        <v>1981.1480000000001</v>
      </c>
      <c r="L41" s="162">
        <f t="shared" si="4"/>
        <v>69.13499999999999</v>
      </c>
      <c r="M41" s="162">
        <f t="shared" si="4"/>
        <v>418.41300000000007</v>
      </c>
      <c r="N41" s="162">
        <f t="shared" si="4"/>
        <v>2201.3759999999997</v>
      </c>
      <c r="O41" s="162">
        <f t="shared" si="4"/>
        <v>13996.779999999999</v>
      </c>
      <c r="P41" s="162">
        <f t="shared" si="4"/>
        <v>82.816</v>
      </c>
      <c r="Q41" s="162">
        <f t="shared" si="4"/>
        <v>2908.6390000000006</v>
      </c>
      <c r="R41" s="162">
        <f t="shared" si="4"/>
        <v>80.038</v>
      </c>
      <c r="S41" s="162">
        <f t="shared" si="4"/>
        <v>1244.5579999999998</v>
      </c>
      <c r="T41" s="162">
        <f t="shared" si="4"/>
        <v>123.58800000000001</v>
      </c>
      <c r="U41" s="162">
        <f t="shared" si="4"/>
        <v>884.1290000000001</v>
      </c>
      <c r="V41" s="162">
        <f t="shared" si="4"/>
        <v>152.068</v>
      </c>
      <c r="W41" s="162">
        <f t="shared" si="4"/>
        <v>1257.8369999999998</v>
      </c>
      <c r="X41" s="162">
        <f t="shared" si="4"/>
        <v>1111.8049999999998</v>
      </c>
      <c r="Y41" s="162">
        <f t="shared" si="4"/>
        <v>7321.234</v>
      </c>
      <c r="Z41" s="162">
        <f t="shared" si="0"/>
        <v>5857.226999999999</v>
      </c>
      <c r="AA41" s="162">
        <f t="shared" si="1"/>
        <v>65586.763</v>
      </c>
    </row>
    <row r="42" ht="11.25">
      <c r="B42" s="169" t="s">
        <v>49</v>
      </c>
    </row>
    <row r="44" spans="26:27" ht="11.25">
      <c r="Z44" s="162">
        <f>SUM(Z6:Z40)</f>
        <v>5857.227000000002</v>
      </c>
      <c r="AA44" s="162">
        <f>SUM(AA6:AA40)</f>
        <v>65586.288</v>
      </c>
    </row>
  </sheetData>
  <sheetProtection/>
  <mergeCells count="16">
    <mergeCell ref="A1:V1"/>
    <mergeCell ref="T2:V2"/>
    <mergeCell ref="T3:W3"/>
    <mergeCell ref="J4:K4"/>
    <mergeCell ref="L4:M4"/>
    <mergeCell ref="B4:C4"/>
    <mergeCell ref="D4:E4"/>
    <mergeCell ref="F4:G4"/>
    <mergeCell ref="H4:I4"/>
    <mergeCell ref="Z4:AA4"/>
    <mergeCell ref="N4:O4"/>
    <mergeCell ref="P4:Q4"/>
    <mergeCell ref="R4:S4"/>
    <mergeCell ref="T4:U4"/>
    <mergeCell ref="V4:W4"/>
    <mergeCell ref="X4:Y4"/>
  </mergeCells>
  <printOptions/>
  <pageMargins left="0.15748031496062992" right="0.31496062992125984" top="1.06" bottom="0.4724409448818898" header="0.58" footer="0.1968503937007874"/>
  <pageSetup horizontalDpi="600" verticalDpi="600" orientation="landscape" scale="83" r:id="rId1"/>
  <headerFooter alignWithMargins="0">
    <oddHeader>&amp;CStatewise Area &amp; Production of Fruits for the Year 2007-08&amp;R&amp;"Arial,Bold"&amp;8Area '000' HA
Production '000' MT</oddHeader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45"/>
  <sheetViews>
    <sheetView showZeros="0" view="pageBreakPreview" zoomScaleSheetLayoutView="100" zoomScalePageLayoutView="0" workbookViewId="0" topLeftCell="A1">
      <selection activeCell="A1" sqref="A1:W3"/>
    </sheetView>
  </sheetViews>
  <sheetFormatPr defaultColWidth="9.140625" defaultRowHeight="12.75"/>
  <cols>
    <col min="1" max="1" width="18.57421875" style="156" customWidth="1"/>
    <col min="2" max="2" width="8.7109375" style="156" bestFit="1" customWidth="1"/>
    <col min="3" max="3" width="5.7109375" style="156" customWidth="1"/>
    <col min="4" max="4" width="5.28125" style="156" customWidth="1"/>
    <col min="5" max="5" width="6.28125" style="156" customWidth="1"/>
    <col min="6" max="6" width="5.421875" style="156" customWidth="1"/>
    <col min="7" max="7" width="6.00390625" style="156" customWidth="1"/>
    <col min="8" max="8" width="4.8515625" style="156" customWidth="1"/>
    <col min="9" max="12" width="6.00390625" style="156" customWidth="1"/>
    <col min="13" max="13" width="7.421875" style="156" bestFit="1" customWidth="1"/>
    <col min="14" max="14" width="5.57421875" style="156" customWidth="1"/>
    <col min="15" max="15" width="6.28125" style="156" customWidth="1"/>
    <col min="16" max="16" width="6.00390625" style="156" customWidth="1"/>
    <col min="17" max="17" width="6.28125" style="156" customWidth="1"/>
    <col min="18" max="18" width="5.7109375" style="156" bestFit="1" customWidth="1"/>
    <col min="19" max="19" width="5.8515625" style="156" customWidth="1"/>
    <col min="20" max="20" width="4.7109375" style="156" customWidth="1"/>
    <col min="21" max="22" width="6.00390625" style="156" customWidth="1"/>
    <col min="23" max="23" width="6.421875" style="156" customWidth="1"/>
    <col min="24" max="24" width="6.421875" style="157" customWidth="1"/>
    <col min="25" max="25" width="7.421875" style="157" customWidth="1"/>
    <col min="26" max="16384" width="9.140625" style="144" customWidth="1"/>
  </cols>
  <sheetData>
    <row r="1" spans="1:23" ht="12.75">
      <c r="A1" s="298" t="s">
        <v>154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41"/>
    </row>
    <row r="2" spans="1:23" ht="12.75">
      <c r="A2" s="261"/>
      <c r="B2" s="242"/>
      <c r="C2" s="242"/>
      <c r="D2" s="252"/>
      <c r="E2" s="252"/>
      <c r="F2" s="252"/>
      <c r="G2" s="252"/>
      <c r="H2" s="252"/>
      <c r="I2" s="252"/>
      <c r="J2" s="252"/>
      <c r="K2" s="259"/>
      <c r="L2" s="259"/>
      <c r="M2" s="241"/>
      <c r="N2" s="241"/>
      <c r="O2" s="252"/>
      <c r="P2" s="252"/>
      <c r="Q2" s="252"/>
      <c r="R2" s="252"/>
      <c r="S2" s="252"/>
      <c r="T2" s="299" t="s">
        <v>148</v>
      </c>
      <c r="U2" s="299"/>
      <c r="V2" s="299"/>
      <c r="W2" s="241"/>
    </row>
    <row r="3" spans="1:23" ht="12.75">
      <c r="A3" s="261"/>
      <c r="B3" s="242"/>
      <c r="C3" s="242"/>
      <c r="D3" s="252"/>
      <c r="E3" s="252"/>
      <c r="F3" s="252"/>
      <c r="G3" s="252"/>
      <c r="H3" s="252"/>
      <c r="I3" s="252"/>
      <c r="J3" s="252"/>
      <c r="K3" s="259"/>
      <c r="L3" s="259"/>
      <c r="M3" s="241"/>
      <c r="N3" s="241"/>
      <c r="O3" s="252"/>
      <c r="P3" s="252"/>
      <c r="Q3" s="252"/>
      <c r="R3" s="252"/>
      <c r="S3" s="252"/>
      <c r="T3" s="300" t="s">
        <v>149</v>
      </c>
      <c r="U3" s="300"/>
      <c r="V3" s="300"/>
      <c r="W3" s="300"/>
    </row>
    <row r="4" spans="1:25" ht="12.75">
      <c r="A4" s="143" t="s">
        <v>0</v>
      </c>
      <c r="B4" s="279" t="s">
        <v>52</v>
      </c>
      <c r="C4" s="279"/>
      <c r="D4" s="279" t="s">
        <v>53</v>
      </c>
      <c r="E4" s="279"/>
      <c r="F4" s="279" t="s">
        <v>54</v>
      </c>
      <c r="G4" s="279"/>
      <c r="H4" s="279" t="s">
        <v>55</v>
      </c>
      <c r="I4" s="279"/>
      <c r="J4" s="279" t="s">
        <v>56</v>
      </c>
      <c r="K4" s="279"/>
      <c r="L4" s="279" t="s">
        <v>57</v>
      </c>
      <c r="M4" s="279"/>
      <c r="N4" s="279" t="s">
        <v>58</v>
      </c>
      <c r="O4" s="279"/>
      <c r="P4" s="279" t="s">
        <v>59</v>
      </c>
      <c r="Q4" s="279"/>
      <c r="R4" s="279" t="s">
        <v>60</v>
      </c>
      <c r="S4" s="279"/>
      <c r="T4" s="279" t="s">
        <v>61</v>
      </c>
      <c r="U4" s="279"/>
      <c r="V4" s="279" t="s">
        <v>12</v>
      </c>
      <c r="W4" s="279"/>
      <c r="X4" s="279" t="s">
        <v>13</v>
      </c>
      <c r="Y4" s="279"/>
    </row>
    <row r="5" spans="1:25" ht="12.75">
      <c r="A5" s="143"/>
      <c r="B5" s="145" t="s">
        <v>14</v>
      </c>
      <c r="C5" s="145" t="s">
        <v>15</v>
      </c>
      <c r="D5" s="145" t="s">
        <v>62</v>
      </c>
      <c r="E5" s="145" t="s">
        <v>15</v>
      </c>
      <c r="F5" s="145" t="s">
        <v>14</v>
      </c>
      <c r="G5" s="145" t="s">
        <v>15</v>
      </c>
      <c r="H5" s="145" t="s">
        <v>14</v>
      </c>
      <c r="I5" s="145" t="s">
        <v>15</v>
      </c>
      <c r="J5" s="145" t="s">
        <v>14</v>
      </c>
      <c r="K5" s="145" t="s">
        <v>15</v>
      </c>
      <c r="L5" s="145" t="s">
        <v>14</v>
      </c>
      <c r="M5" s="145" t="s">
        <v>15</v>
      </c>
      <c r="N5" s="145" t="s">
        <v>14</v>
      </c>
      <c r="O5" s="145" t="s">
        <v>15</v>
      </c>
      <c r="P5" s="145" t="s">
        <v>14</v>
      </c>
      <c r="Q5" s="145" t="s">
        <v>15</v>
      </c>
      <c r="R5" s="145" t="s">
        <v>14</v>
      </c>
      <c r="S5" s="145" t="s">
        <v>15</v>
      </c>
      <c r="T5" s="145" t="s">
        <v>14</v>
      </c>
      <c r="U5" s="145" t="s">
        <v>15</v>
      </c>
      <c r="V5" s="145" t="s">
        <v>14</v>
      </c>
      <c r="W5" s="145" t="s">
        <v>15</v>
      </c>
      <c r="X5" s="143" t="s">
        <v>14</v>
      </c>
      <c r="Y5" s="143" t="s">
        <v>15</v>
      </c>
    </row>
    <row r="6" spans="1:25" ht="12.75">
      <c r="A6" s="61" t="s">
        <v>16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7">
        <v>3.951</v>
      </c>
      <c r="W6" s="147">
        <v>30.823</v>
      </c>
      <c r="X6" s="148">
        <f aca="true" t="shared" si="0" ref="X6:X14">B6+D6+F6+H6+J6+L6+N6+P6+R6+T6+V6</f>
        <v>3.951</v>
      </c>
      <c r="Y6" s="148">
        <f aca="true" t="shared" si="1" ref="Y6:Y14">C6+E6+G6+I6+K6+M6+O6+Q6+S6+U6+W6</f>
        <v>30.823</v>
      </c>
    </row>
    <row r="7" spans="1:25" ht="12.75">
      <c r="A7" s="61" t="s">
        <v>17</v>
      </c>
      <c r="B7" s="146">
        <v>26.564</v>
      </c>
      <c r="C7" s="146">
        <v>531.28</v>
      </c>
      <c r="D7" s="146">
        <v>8.953</v>
      </c>
      <c r="E7" s="146">
        <v>134.295</v>
      </c>
      <c r="F7" s="146">
        <v>0</v>
      </c>
      <c r="G7" s="146">
        <v>0</v>
      </c>
      <c r="H7" s="146">
        <v>29.315</v>
      </c>
      <c r="I7" s="146">
        <v>439.725</v>
      </c>
      <c r="J7" s="146">
        <v>0.113</v>
      </c>
      <c r="K7" s="146">
        <v>3.955</v>
      </c>
      <c r="L7" s="146">
        <v>74.108</v>
      </c>
      <c r="M7" s="146">
        <v>1408.052</v>
      </c>
      <c r="N7" s="146">
        <v>35.645</v>
      </c>
      <c r="O7" s="146">
        <v>605.965</v>
      </c>
      <c r="P7" s="146">
        <v>6.637</v>
      </c>
      <c r="Q7" s="146">
        <v>132.74</v>
      </c>
      <c r="R7" s="146">
        <v>0.697</v>
      </c>
      <c r="S7" s="146">
        <v>13.94</v>
      </c>
      <c r="T7" s="146">
        <v>17.877</v>
      </c>
      <c r="U7" s="146">
        <v>357.54</v>
      </c>
      <c r="V7" s="146">
        <f>26.935+26.146+20.041+12.173+4.854+7.364+1.497</f>
        <v>99.01</v>
      </c>
      <c r="W7" s="146">
        <f>323.22+313.752+300.615+121.73+88.925+147.28+19.287+3.955</f>
        <v>1318.764</v>
      </c>
      <c r="X7" s="61">
        <f t="shared" si="0"/>
        <v>298.91900000000004</v>
      </c>
      <c r="Y7" s="61">
        <f t="shared" si="1"/>
        <v>4946.255999999999</v>
      </c>
    </row>
    <row r="8" spans="1:25" ht="12.75">
      <c r="A8" s="52" t="s">
        <v>18</v>
      </c>
      <c r="B8" s="149">
        <v>0</v>
      </c>
      <c r="C8" s="149">
        <v>0</v>
      </c>
      <c r="D8" s="149">
        <v>0</v>
      </c>
      <c r="E8" s="149">
        <v>0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0</v>
      </c>
      <c r="M8" s="149">
        <v>0</v>
      </c>
      <c r="N8" s="149">
        <v>0</v>
      </c>
      <c r="O8" s="149">
        <v>0</v>
      </c>
      <c r="P8" s="149">
        <v>4</v>
      </c>
      <c r="Q8" s="149">
        <v>31.7</v>
      </c>
      <c r="R8" s="149">
        <v>0</v>
      </c>
      <c r="S8" s="149">
        <v>0</v>
      </c>
      <c r="T8" s="149">
        <v>0</v>
      </c>
      <c r="U8" s="149">
        <v>0</v>
      </c>
      <c r="V8" s="149">
        <v>19.8</v>
      </c>
      <c r="W8" s="149">
        <v>78.3</v>
      </c>
      <c r="X8" s="52">
        <f t="shared" si="0"/>
        <v>23.8</v>
      </c>
      <c r="Y8" s="52">
        <f t="shared" si="1"/>
        <v>110</v>
      </c>
    </row>
    <row r="9" spans="1:25" ht="12.75">
      <c r="A9" s="61" t="s">
        <v>19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>
        <v>79.3</v>
      </c>
      <c r="Q9" s="146">
        <v>514.6</v>
      </c>
      <c r="R9" s="146">
        <v>8.3</v>
      </c>
      <c r="S9" s="146">
        <v>29</v>
      </c>
      <c r="T9" s="146">
        <v>2.7</v>
      </c>
      <c r="U9" s="146">
        <v>12.9</v>
      </c>
      <c r="V9" s="146">
        <v>238.6</v>
      </c>
      <c r="W9" s="146">
        <v>3917.7</v>
      </c>
      <c r="X9" s="61">
        <f t="shared" si="0"/>
        <v>328.9</v>
      </c>
      <c r="Y9" s="61">
        <f t="shared" si="1"/>
        <v>4474.2</v>
      </c>
    </row>
    <row r="10" spans="1:25" ht="12.75">
      <c r="A10" s="61" t="s">
        <v>20</v>
      </c>
      <c r="B10" s="146">
        <v>54.6</v>
      </c>
      <c r="C10" s="146">
        <v>1158.2</v>
      </c>
      <c r="D10" s="146">
        <v>37.4</v>
      </c>
      <c r="E10" s="146">
        <v>638.1</v>
      </c>
      <c r="F10" s="146">
        <v>60.7</v>
      </c>
      <c r="G10" s="146">
        <v>1023.9</v>
      </c>
      <c r="H10" s="146">
        <v>57.2</v>
      </c>
      <c r="I10" s="146">
        <v>707.3</v>
      </c>
      <c r="J10" s="146">
        <v>9</v>
      </c>
      <c r="K10" s="146">
        <v>57.6</v>
      </c>
      <c r="L10" s="146">
        <v>46.2</v>
      </c>
      <c r="M10" s="146">
        <v>921.9</v>
      </c>
      <c r="N10" s="146">
        <v>51.3</v>
      </c>
      <c r="O10" s="146">
        <v>1019.6</v>
      </c>
      <c r="P10" s="146">
        <v>315.5</v>
      </c>
      <c r="Q10" s="146">
        <v>6019.7</v>
      </c>
      <c r="R10" s="146">
        <v>0.3</v>
      </c>
      <c r="S10" s="146">
        <v>5.2</v>
      </c>
      <c r="T10" s="146"/>
      <c r="U10" s="146"/>
      <c r="V10" s="146">
        <v>191.6</v>
      </c>
      <c r="W10" s="146">
        <v>2516.3</v>
      </c>
      <c r="X10" s="61">
        <f t="shared" si="0"/>
        <v>823.8</v>
      </c>
      <c r="Y10" s="61">
        <f t="shared" si="1"/>
        <v>14067.8</v>
      </c>
    </row>
    <row r="11" spans="1:25" ht="12.75">
      <c r="A11" s="61" t="s">
        <v>21</v>
      </c>
      <c r="B11" s="146">
        <v>0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7">
        <v>0.1</v>
      </c>
      <c r="W11" s="147">
        <v>1.7</v>
      </c>
      <c r="X11" s="148">
        <f t="shared" si="0"/>
        <v>0.1</v>
      </c>
      <c r="Y11" s="148">
        <f t="shared" si="1"/>
        <v>1.7</v>
      </c>
    </row>
    <row r="12" spans="1:25" ht="12.75">
      <c r="A12" s="61" t="s">
        <v>22</v>
      </c>
      <c r="B12" s="146">
        <v>22.3</v>
      </c>
      <c r="C12" s="146">
        <v>327.5</v>
      </c>
      <c r="D12" s="146">
        <v>11.3</v>
      </c>
      <c r="E12" s="146">
        <v>177.4</v>
      </c>
      <c r="F12" s="146">
        <v>16.6</v>
      </c>
      <c r="G12" s="146">
        <v>251.9</v>
      </c>
      <c r="H12" s="146">
        <v>23</v>
      </c>
      <c r="I12" s="146">
        <v>202.4</v>
      </c>
      <c r="J12" s="146">
        <v>9.9</v>
      </c>
      <c r="K12" s="146">
        <v>44.8</v>
      </c>
      <c r="L12" s="146">
        <v>37.7</v>
      </c>
      <c r="M12" s="146">
        <v>404.1</v>
      </c>
      <c r="N12" s="146">
        <v>8.8</v>
      </c>
      <c r="O12" s="146">
        <v>136.7</v>
      </c>
      <c r="P12" s="146">
        <v>31</v>
      </c>
      <c r="Q12" s="146">
        <v>346.5</v>
      </c>
      <c r="R12" s="146">
        <v>3.7</v>
      </c>
      <c r="S12" s="146">
        <v>32.6</v>
      </c>
      <c r="T12" s="146">
        <v>0</v>
      </c>
      <c r="U12" s="146">
        <v>0</v>
      </c>
      <c r="V12" s="146">
        <v>128.3</v>
      </c>
      <c r="W12" s="146">
        <v>1010.3</v>
      </c>
      <c r="X12" s="61">
        <f t="shared" si="0"/>
        <v>292.6</v>
      </c>
      <c r="Y12" s="61">
        <f t="shared" si="1"/>
        <v>2934.2</v>
      </c>
    </row>
    <row r="13" spans="1:25" ht="12.75">
      <c r="A13" s="61" t="s">
        <v>23</v>
      </c>
      <c r="B13" s="147">
        <v>0.45</v>
      </c>
      <c r="C13" s="147">
        <v>2.2</v>
      </c>
      <c r="D13" s="147">
        <v>0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0.35</v>
      </c>
      <c r="M13" s="147">
        <v>1.8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47">
        <v>0</v>
      </c>
      <c r="V13" s="147">
        <v>0.17</v>
      </c>
      <c r="W13" s="147">
        <v>0.48</v>
      </c>
      <c r="X13" s="148">
        <f t="shared" si="0"/>
        <v>0.9700000000000001</v>
      </c>
      <c r="Y13" s="148">
        <f t="shared" si="1"/>
        <v>4.48</v>
      </c>
    </row>
    <row r="14" spans="1:25" ht="12.75">
      <c r="A14" s="61" t="s">
        <v>24</v>
      </c>
      <c r="B14" s="147">
        <v>0.03</v>
      </c>
      <c r="C14" s="147">
        <v>0.025</v>
      </c>
      <c r="D14" s="147">
        <v>0.003</v>
      </c>
      <c r="E14" s="147">
        <v>0.013</v>
      </c>
      <c r="F14" s="147">
        <v>0.002</v>
      </c>
      <c r="G14" s="147">
        <v>0.012</v>
      </c>
      <c r="H14" s="147">
        <v>0.02</v>
      </c>
      <c r="I14" s="147">
        <v>0.022</v>
      </c>
      <c r="J14" s="147">
        <v>0.009</v>
      </c>
      <c r="K14" s="147">
        <v>0.005</v>
      </c>
      <c r="L14" s="147">
        <v>0.015</v>
      </c>
      <c r="M14" s="147">
        <v>0.013</v>
      </c>
      <c r="N14" s="147">
        <v>0.015</v>
      </c>
      <c r="O14" s="147">
        <v>0.013</v>
      </c>
      <c r="P14" s="147">
        <v>0.015</v>
      </c>
      <c r="Q14" s="147">
        <v>0.013</v>
      </c>
      <c r="R14" s="147">
        <v>0.015</v>
      </c>
      <c r="S14" s="147">
        <v>0.013</v>
      </c>
      <c r="T14" s="147">
        <v>0.015</v>
      </c>
      <c r="U14" s="147">
        <v>0.013</v>
      </c>
      <c r="V14" s="147">
        <v>0.023</v>
      </c>
      <c r="W14" s="147">
        <v>0.058</v>
      </c>
      <c r="X14" s="148">
        <f t="shared" si="0"/>
        <v>0.162</v>
      </c>
      <c r="Y14" s="148">
        <f t="shared" si="1"/>
        <v>0.2</v>
      </c>
    </row>
    <row r="15" spans="1:25" ht="12.75">
      <c r="A15" s="61" t="s">
        <v>25</v>
      </c>
      <c r="B15" s="146">
        <v>1.6</v>
      </c>
      <c r="C15" s="146">
        <v>33.6</v>
      </c>
      <c r="D15" s="146">
        <v>0</v>
      </c>
      <c r="E15" s="146">
        <v>0</v>
      </c>
      <c r="F15" s="146">
        <v>5.9</v>
      </c>
      <c r="G15" s="146">
        <v>107.9</v>
      </c>
      <c r="H15" s="146">
        <v>2</v>
      </c>
      <c r="I15" s="146">
        <v>20.2</v>
      </c>
      <c r="J15" s="146">
        <v>0.5</v>
      </c>
      <c r="K15" s="146">
        <v>4.5</v>
      </c>
      <c r="L15" s="146">
        <v>1.7</v>
      </c>
      <c r="M15" s="146">
        <v>31.4</v>
      </c>
      <c r="N15" s="146">
        <v>1.3</v>
      </c>
      <c r="O15" s="146">
        <v>23.4</v>
      </c>
      <c r="P15" s="146">
        <v>1.4</v>
      </c>
      <c r="Q15" s="146">
        <v>32.4</v>
      </c>
      <c r="R15" s="146">
        <v>0</v>
      </c>
      <c r="S15" s="146">
        <v>0</v>
      </c>
      <c r="T15" s="146">
        <v>0</v>
      </c>
      <c r="U15" s="146">
        <v>0</v>
      </c>
      <c r="V15" s="146">
        <v>28.3</v>
      </c>
      <c r="W15" s="146">
        <v>342.2</v>
      </c>
      <c r="X15" s="61">
        <v>42.7</v>
      </c>
      <c r="Y15" s="61">
        <v>595.6</v>
      </c>
    </row>
    <row r="16" spans="1:25" ht="12.75">
      <c r="A16" s="61" t="s">
        <v>26</v>
      </c>
      <c r="B16" s="146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0</v>
      </c>
      <c r="V16" s="146">
        <v>8.5</v>
      </c>
      <c r="W16" s="146">
        <v>85</v>
      </c>
      <c r="X16" s="61">
        <f aca="true" t="shared" si="2" ref="X16:X40">B16+D16+F16+H16+J16+L16+N16+P16+R16+T16+V16</f>
        <v>8.5</v>
      </c>
      <c r="Y16" s="61">
        <f aca="true" t="shared" si="3" ref="Y16:Y40">C16+E16+G16+I16+K16+M16+O16+Q16+S16+U16+W16</f>
        <v>85</v>
      </c>
    </row>
    <row r="17" spans="1:25" ht="12.75">
      <c r="A17" s="61" t="s">
        <v>27</v>
      </c>
      <c r="B17" s="146">
        <v>55.8</v>
      </c>
      <c r="C17" s="146">
        <v>987.7</v>
      </c>
      <c r="D17" s="146">
        <v>23</v>
      </c>
      <c r="E17" s="146">
        <v>396.2</v>
      </c>
      <c r="F17" s="146">
        <v>17.4</v>
      </c>
      <c r="G17" s="146">
        <v>314.2</v>
      </c>
      <c r="H17" s="146">
        <v>41.5</v>
      </c>
      <c r="I17" s="146">
        <v>365.9</v>
      </c>
      <c r="J17" s="146">
        <v>0</v>
      </c>
      <c r="K17" s="146">
        <v>0</v>
      </c>
      <c r="L17" s="146">
        <v>30.8</v>
      </c>
      <c r="M17" s="146">
        <v>739.6</v>
      </c>
      <c r="N17" s="146">
        <v>84.3</v>
      </c>
      <c r="O17" s="146">
        <v>2238.3</v>
      </c>
      <c r="P17" s="146">
        <v>65.2</v>
      </c>
      <c r="Q17" s="146">
        <v>1493.9</v>
      </c>
      <c r="R17" s="146">
        <v>0</v>
      </c>
      <c r="S17" s="146">
        <v>0</v>
      </c>
      <c r="T17" s="146">
        <v>0</v>
      </c>
      <c r="U17" s="146">
        <v>0</v>
      </c>
      <c r="V17" s="146">
        <v>93.7</v>
      </c>
      <c r="W17" s="146">
        <v>867.2</v>
      </c>
      <c r="X17" s="61">
        <f t="shared" si="2"/>
        <v>411.7</v>
      </c>
      <c r="Y17" s="61">
        <f t="shared" si="3"/>
        <v>7402.999999999999</v>
      </c>
    </row>
    <row r="18" spans="1:25" ht="12.75">
      <c r="A18" s="61" t="s">
        <v>28</v>
      </c>
      <c r="B18" s="146">
        <v>13.5</v>
      </c>
      <c r="C18" s="146">
        <v>173.7</v>
      </c>
      <c r="D18" s="146">
        <v>11.3</v>
      </c>
      <c r="E18" s="146">
        <v>152.6</v>
      </c>
      <c r="F18" s="146">
        <v>24.2</v>
      </c>
      <c r="G18" s="146">
        <v>349.9</v>
      </c>
      <c r="H18" s="146">
        <v>14.9</v>
      </c>
      <c r="I18" s="146">
        <v>117.8</v>
      </c>
      <c r="J18" s="146">
        <v>10</v>
      </c>
      <c r="K18" s="146">
        <v>70.9</v>
      </c>
      <c r="L18" s="146">
        <v>19.2</v>
      </c>
      <c r="M18" s="146">
        <v>202.3</v>
      </c>
      <c r="N18" s="146">
        <v>17.7</v>
      </c>
      <c r="O18" s="146">
        <v>346.6</v>
      </c>
      <c r="P18" s="146">
        <v>19.8</v>
      </c>
      <c r="Q18" s="146">
        <v>352.2</v>
      </c>
      <c r="R18" s="146"/>
      <c r="S18" s="146"/>
      <c r="T18" s="146"/>
      <c r="U18" s="146"/>
      <c r="V18" s="146">
        <v>143.9</v>
      </c>
      <c r="W18" s="146">
        <v>1511.1</v>
      </c>
      <c r="X18" s="61">
        <f t="shared" si="2"/>
        <v>274.5</v>
      </c>
      <c r="Y18" s="61">
        <f t="shared" si="3"/>
        <v>3277.0999999999995</v>
      </c>
    </row>
    <row r="19" spans="1:25" ht="12.75">
      <c r="A19" s="76" t="s">
        <v>29</v>
      </c>
      <c r="B19" s="146">
        <v>0.8</v>
      </c>
      <c r="C19" s="146">
        <v>15.4</v>
      </c>
      <c r="D19" s="146">
        <v>3.9</v>
      </c>
      <c r="E19" s="146">
        <v>119.8</v>
      </c>
      <c r="F19" s="146">
        <v>2.3</v>
      </c>
      <c r="G19" s="146">
        <v>52.7</v>
      </c>
      <c r="H19" s="146">
        <v>1.8</v>
      </c>
      <c r="I19" s="146">
        <v>21.7</v>
      </c>
      <c r="J19" s="146">
        <v>17.4</v>
      </c>
      <c r="K19" s="146">
        <v>203.4</v>
      </c>
      <c r="L19" s="146">
        <v>9.4</v>
      </c>
      <c r="M19" s="146">
        <v>317.7</v>
      </c>
      <c r="N19" s="146">
        <v>1.6</v>
      </c>
      <c r="O19" s="146">
        <v>25.9</v>
      </c>
      <c r="P19" s="146">
        <v>14</v>
      </c>
      <c r="Q19" s="146">
        <v>175</v>
      </c>
      <c r="R19" s="146"/>
      <c r="S19" s="146"/>
      <c r="T19" s="146"/>
      <c r="U19" s="146"/>
      <c r="V19" s="146">
        <v>12.6</v>
      </c>
      <c r="W19" s="146">
        <v>219.1</v>
      </c>
      <c r="X19" s="61">
        <f t="shared" si="2"/>
        <v>63.800000000000004</v>
      </c>
      <c r="Y19" s="61">
        <f t="shared" si="3"/>
        <v>1150.7</v>
      </c>
    </row>
    <row r="20" spans="1:25" ht="12.75">
      <c r="A20" s="61" t="s">
        <v>30</v>
      </c>
      <c r="B20" s="146">
        <v>1</v>
      </c>
      <c r="C20" s="146">
        <v>16.9</v>
      </c>
      <c r="D20" s="146">
        <v>1.1</v>
      </c>
      <c r="E20" s="146">
        <v>24.2</v>
      </c>
      <c r="F20" s="146">
        <v>1.6</v>
      </c>
      <c r="G20" s="146">
        <v>34.6</v>
      </c>
      <c r="H20" s="146">
        <v>2.1</v>
      </c>
      <c r="I20" s="146">
        <v>35.8</v>
      </c>
      <c r="J20" s="146">
        <v>2.3</v>
      </c>
      <c r="K20" s="146">
        <v>25.2</v>
      </c>
      <c r="L20" s="146">
        <v>1.7</v>
      </c>
      <c r="M20" s="146">
        <v>37</v>
      </c>
      <c r="N20" s="146">
        <v>1.8</v>
      </c>
      <c r="O20" s="146">
        <v>35.5</v>
      </c>
      <c r="P20" s="146">
        <v>5.6</v>
      </c>
      <c r="Q20" s="146">
        <v>89.6</v>
      </c>
      <c r="R20" s="146"/>
      <c r="S20" s="146"/>
      <c r="T20" s="146"/>
      <c r="U20" s="146"/>
      <c r="V20" s="146">
        <v>41.4</v>
      </c>
      <c r="W20" s="146">
        <v>939.5</v>
      </c>
      <c r="X20" s="61">
        <f t="shared" si="2"/>
        <v>58.6</v>
      </c>
      <c r="Y20" s="61">
        <f t="shared" si="3"/>
        <v>1238.3</v>
      </c>
    </row>
    <row r="21" spans="1:26" ht="12.75">
      <c r="A21" s="61" t="s">
        <v>31</v>
      </c>
      <c r="B21" s="146">
        <v>19</v>
      </c>
      <c r="C21" s="146">
        <v>379.8</v>
      </c>
      <c r="D21" s="146">
        <v>11.4</v>
      </c>
      <c r="E21" s="146">
        <v>183</v>
      </c>
      <c r="F21" s="146">
        <v>20.7</v>
      </c>
      <c r="G21" s="146">
        <v>331.9</v>
      </c>
      <c r="H21" s="146">
        <v>24.5</v>
      </c>
      <c r="I21" s="146">
        <v>343.2</v>
      </c>
      <c r="J21" s="146"/>
      <c r="K21" s="146"/>
      <c r="L21" s="146">
        <v>17.5</v>
      </c>
      <c r="M21" s="146">
        <v>350.2</v>
      </c>
      <c r="N21" s="146">
        <v>12.1</v>
      </c>
      <c r="O21" s="146">
        <v>242.1</v>
      </c>
      <c r="P21" s="146">
        <v>40</v>
      </c>
      <c r="Q21" s="146">
        <v>377.1</v>
      </c>
      <c r="R21" s="146"/>
      <c r="S21" s="146"/>
      <c r="T21" s="146"/>
      <c r="U21" s="146"/>
      <c r="V21" s="146">
        <v>93.6</v>
      </c>
      <c r="W21" s="146">
        <v>1432.4</v>
      </c>
      <c r="X21" s="61">
        <f t="shared" si="2"/>
        <v>238.79999999999998</v>
      </c>
      <c r="Y21" s="61">
        <f t="shared" si="3"/>
        <v>3639.7</v>
      </c>
      <c r="Z21" s="150"/>
    </row>
    <row r="22" spans="1:25" ht="12.75">
      <c r="A22" s="61" t="s">
        <v>32</v>
      </c>
      <c r="B22" s="146">
        <v>14.87</v>
      </c>
      <c r="C22" s="146">
        <v>362.043</v>
      </c>
      <c r="D22" s="146">
        <v>8.194</v>
      </c>
      <c r="E22" s="146">
        <v>170.207</v>
      </c>
      <c r="F22" s="146">
        <v>4.135</v>
      </c>
      <c r="G22" s="146">
        <v>74.235</v>
      </c>
      <c r="H22" s="146">
        <v>7.687</v>
      </c>
      <c r="I22" s="146">
        <v>69.608</v>
      </c>
      <c r="J22" s="146">
        <v>1.495</v>
      </c>
      <c r="K22" s="146">
        <v>15.883</v>
      </c>
      <c r="L22" s="146">
        <v>50.857</v>
      </c>
      <c r="M22" s="146">
        <v>1498.842</v>
      </c>
      <c r="N22" s="146">
        <v>157.27</v>
      </c>
      <c r="O22" s="146">
        <v>2887.392</v>
      </c>
      <c r="P22" s="146">
        <v>67.891</v>
      </c>
      <c r="Q22" s="146">
        <v>572.442</v>
      </c>
      <c r="R22" s="146">
        <v>2.778</v>
      </c>
      <c r="S22" s="146">
        <v>34.137</v>
      </c>
      <c r="T22" s="146">
        <v>1.006</v>
      </c>
      <c r="U22" s="146">
        <v>12.848</v>
      </c>
      <c r="V22" s="146">
        <f>9.645+37.834+2.33+4.837+2.445+4.153+2.069+2.596+1.711+0.186+8.566+0.693+14.775+18.181+1.245</f>
        <v>111.26600000000002</v>
      </c>
      <c r="W22" s="146">
        <f>102.84+554.081+43.016+52.317+42.901+79.845+30.409+17.716+4.936+7+279.45+11.598+148.067+283.468+11.794</f>
        <v>1669.438</v>
      </c>
      <c r="X22" s="61">
        <f t="shared" si="2"/>
        <v>427.449</v>
      </c>
      <c r="Y22" s="61">
        <f t="shared" si="3"/>
        <v>7367.075</v>
      </c>
    </row>
    <row r="23" spans="1:25" ht="12.75">
      <c r="A23" s="61" t="s">
        <v>33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>
        <v>0</v>
      </c>
      <c r="O23" s="146">
        <v>0</v>
      </c>
      <c r="P23" s="146">
        <v>0</v>
      </c>
      <c r="Q23" s="146">
        <v>0</v>
      </c>
      <c r="R23" s="146">
        <v>0.7</v>
      </c>
      <c r="S23" s="146">
        <v>8.1</v>
      </c>
      <c r="T23" s="151">
        <v>90.3</v>
      </c>
      <c r="U23" s="151">
        <v>2492.1</v>
      </c>
      <c r="V23" s="149">
        <v>75.9</v>
      </c>
      <c r="W23" s="149">
        <v>978.8</v>
      </c>
      <c r="X23" s="61">
        <f t="shared" si="2"/>
        <v>166.9</v>
      </c>
      <c r="Y23" s="61">
        <f t="shared" si="3"/>
        <v>3479</v>
      </c>
    </row>
    <row r="24" spans="1:25" ht="12.75">
      <c r="A24" s="61" t="s">
        <v>34</v>
      </c>
      <c r="B24" s="147">
        <v>0</v>
      </c>
      <c r="C24" s="147">
        <v>0</v>
      </c>
      <c r="D24" s="147"/>
      <c r="E24" s="147"/>
      <c r="F24" s="147"/>
      <c r="G24" s="147"/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/>
      <c r="P24" s="147"/>
      <c r="Q24" s="147"/>
      <c r="R24" s="147">
        <v>0</v>
      </c>
      <c r="S24" s="147">
        <v>0</v>
      </c>
      <c r="T24" s="147"/>
      <c r="U24" s="147"/>
      <c r="V24" s="147">
        <v>0.445</v>
      </c>
      <c r="W24" s="147">
        <v>14.12</v>
      </c>
      <c r="X24" s="148">
        <f t="shared" si="2"/>
        <v>0.445</v>
      </c>
      <c r="Y24" s="148">
        <f t="shared" si="3"/>
        <v>14.12</v>
      </c>
    </row>
    <row r="25" spans="1:25" ht="12.75">
      <c r="A25" s="61" t="s">
        <v>35</v>
      </c>
      <c r="B25" s="146">
        <v>14.9</v>
      </c>
      <c r="C25" s="146">
        <v>223.3</v>
      </c>
      <c r="D25" s="146">
        <v>6.5</v>
      </c>
      <c r="E25" s="146">
        <v>129.2</v>
      </c>
      <c r="F25" s="146">
        <v>10.8</v>
      </c>
      <c r="G25" s="146">
        <v>172.5</v>
      </c>
      <c r="H25" s="146">
        <v>9.2</v>
      </c>
      <c r="I25" s="146">
        <v>55.1</v>
      </c>
      <c r="J25" s="146">
        <v>21.5</v>
      </c>
      <c r="K25" s="146">
        <v>236.4</v>
      </c>
      <c r="L25" s="146">
        <v>22.7</v>
      </c>
      <c r="M25" s="146">
        <v>340.5</v>
      </c>
      <c r="N25" s="146">
        <v>39</v>
      </c>
      <c r="O25" s="146">
        <v>648.6</v>
      </c>
      <c r="P25" s="146">
        <v>50</v>
      </c>
      <c r="Q25" s="146">
        <v>650.4</v>
      </c>
      <c r="R25" s="146">
        <v>4.2</v>
      </c>
      <c r="S25" s="146">
        <v>23.3</v>
      </c>
      <c r="T25" s="146"/>
      <c r="U25" s="146"/>
      <c r="V25" s="146">
        <v>30.6</v>
      </c>
      <c r="W25" s="146">
        <v>440.4</v>
      </c>
      <c r="X25" s="61">
        <f t="shared" si="2"/>
        <v>209.4</v>
      </c>
      <c r="Y25" s="61">
        <f t="shared" si="3"/>
        <v>2919.7000000000003</v>
      </c>
    </row>
    <row r="26" spans="1:25" ht="12.75">
      <c r="A26" s="61" t="s">
        <v>36</v>
      </c>
      <c r="B26" s="146">
        <v>29.4</v>
      </c>
      <c r="C26" s="146">
        <v>479.2</v>
      </c>
      <c r="D26" s="146">
        <v>15.1</v>
      </c>
      <c r="E26" s="146">
        <v>383</v>
      </c>
      <c r="F26" s="146">
        <v>13.1</v>
      </c>
      <c r="G26" s="146">
        <v>330.7</v>
      </c>
      <c r="H26" s="146">
        <v>26.3</v>
      </c>
      <c r="I26" s="146">
        <v>165.4</v>
      </c>
      <c r="J26" s="146">
        <v>6</v>
      </c>
      <c r="K26" s="146">
        <v>27.7</v>
      </c>
      <c r="L26" s="146">
        <v>32.2</v>
      </c>
      <c r="M26" s="146">
        <v>715.3</v>
      </c>
      <c r="N26" s="146">
        <v>254.5</v>
      </c>
      <c r="O26" s="146">
        <v>4003.1</v>
      </c>
      <c r="P26" s="146">
        <v>19.1</v>
      </c>
      <c r="Q26" s="146">
        <v>198.2</v>
      </c>
      <c r="R26" s="146">
        <v>0</v>
      </c>
      <c r="S26" s="146">
        <v>0</v>
      </c>
      <c r="T26" s="146"/>
      <c r="U26" s="146"/>
      <c r="V26" s="146">
        <v>59.6</v>
      </c>
      <c r="W26" s="146">
        <v>152.3</v>
      </c>
      <c r="X26" s="61">
        <f t="shared" si="2"/>
        <v>455.30000000000007</v>
      </c>
      <c r="Y26" s="61">
        <f t="shared" si="3"/>
        <v>6454.9</v>
      </c>
    </row>
    <row r="27" spans="1:25" s="142" customFormat="1" ht="12.75">
      <c r="A27" s="61" t="s">
        <v>37</v>
      </c>
      <c r="B27" s="152">
        <v>0</v>
      </c>
      <c r="C27" s="152">
        <v>0</v>
      </c>
      <c r="D27" s="152">
        <v>2.581</v>
      </c>
      <c r="E27" s="152">
        <v>27.445</v>
      </c>
      <c r="F27" s="152">
        <v>1.599</v>
      </c>
      <c r="G27" s="152">
        <v>14.186</v>
      </c>
      <c r="H27" s="152">
        <v>0</v>
      </c>
      <c r="I27" s="152">
        <v>0</v>
      </c>
      <c r="J27" s="152">
        <v>2.496</v>
      </c>
      <c r="K27" s="152">
        <v>24.362</v>
      </c>
      <c r="L27" s="152">
        <v>1.55</v>
      </c>
      <c r="M27" s="152">
        <v>15.144</v>
      </c>
      <c r="N27" s="152">
        <v>0</v>
      </c>
      <c r="O27" s="152">
        <v>0</v>
      </c>
      <c r="P27" s="152">
        <v>1.69</v>
      </c>
      <c r="Q27" s="152">
        <v>13.796</v>
      </c>
      <c r="R27" s="152">
        <v>0</v>
      </c>
      <c r="S27" s="152">
        <v>0</v>
      </c>
      <c r="T27" s="152">
        <v>0</v>
      </c>
      <c r="U27" s="152">
        <v>0</v>
      </c>
      <c r="V27" s="152">
        <v>2.177</v>
      </c>
      <c r="W27" s="152">
        <v>18.742</v>
      </c>
      <c r="X27" s="148">
        <f t="shared" si="2"/>
        <v>12.093</v>
      </c>
      <c r="Y27" s="148">
        <f t="shared" si="3"/>
        <v>113.675</v>
      </c>
    </row>
    <row r="28" spans="1:25" ht="12.75">
      <c r="A28" s="61" t="s">
        <v>38</v>
      </c>
      <c r="B28" s="149">
        <v>0</v>
      </c>
      <c r="C28" s="149">
        <v>0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49">
        <v>0</v>
      </c>
      <c r="P28" s="149">
        <v>18.8</v>
      </c>
      <c r="Q28" s="149">
        <v>161</v>
      </c>
      <c r="R28" s="149">
        <v>5.4</v>
      </c>
      <c r="S28" s="149">
        <v>19.5</v>
      </c>
      <c r="T28" s="149">
        <v>4.3</v>
      </c>
      <c r="U28" s="149">
        <v>23.5</v>
      </c>
      <c r="V28" s="149">
        <v>14</v>
      </c>
      <c r="W28" s="149">
        <v>148.5</v>
      </c>
      <c r="X28" s="61">
        <f t="shared" si="2"/>
        <v>42.5</v>
      </c>
      <c r="Y28" s="61">
        <f t="shared" si="3"/>
        <v>352.5</v>
      </c>
    </row>
    <row r="29" spans="1:25" ht="12.75">
      <c r="A29" s="61" t="s">
        <v>39</v>
      </c>
      <c r="B29" s="147">
        <v>0</v>
      </c>
      <c r="C29" s="147">
        <v>0</v>
      </c>
      <c r="D29" s="147">
        <v>0.2</v>
      </c>
      <c r="E29" s="147">
        <v>5</v>
      </c>
      <c r="F29" s="147">
        <v>0.03</v>
      </c>
      <c r="G29" s="147">
        <v>0.438</v>
      </c>
      <c r="H29" s="147">
        <v>0</v>
      </c>
      <c r="I29" s="147">
        <v>0</v>
      </c>
      <c r="J29" s="147">
        <v>0</v>
      </c>
      <c r="K29" s="147">
        <v>0</v>
      </c>
      <c r="L29" s="147">
        <v>0.017</v>
      </c>
      <c r="M29" s="147">
        <v>0.297</v>
      </c>
      <c r="N29" s="147"/>
      <c r="O29" s="147"/>
      <c r="P29" s="147">
        <v>1.688</v>
      </c>
      <c r="Q29" s="147">
        <v>15.96</v>
      </c>
      <c r="R29" s="147"/>
      <c r="S29" s="147"/>
      <c r="T29" s="147"/>
      <c r="U29" s="147"/>
      <c r="V29" s="147">
        <f>0.045+0.052+0.036+0.714+0.107+0.076</f>
        <v>1.03</v>
      </c>
      <c r="W29" s="147">
        <f>0.95+0.698+0.385+26.418+0.718+0.996</f>
        <v>30.165</v>
      </c>
      <c r="X29" s="148">
        <f t="shared" si="2"/>
        <v>2.965</v>
      </c>
      <c r="Y29" s="148">
        <f t="shared" si="3"/>
        <v>51.86</v>
      </c>
    </row>
    <row r="30" spans="1:25" s="46" customFormat="1" ht="12.75">
      <c r="A30" s="52" t="s">
        <v>40</v>
      </c>
      <c r="B30" s="152">
        <v>0.135</v>
      </c>
      <c r="C30" s="152">
        <v>2.2</v>
      </c>
      <c r="D30" s="152">
        <v>0.25</v>
      </c>
      <c r="E30" s="152">
        <v>3</v>
      </c>
      <c r="F30" s="152">
        <v>0.1</v>
      </c>
      <c r="G30" s="152">
        <v>0.15</v>
      </c>
      <c r="H30" s="152">
        <v>0.065</v>
      </c>
      <c r="I30" s="152">
        <v>0.15</v>
      </c>
      <c r="J30" s="152">
        <v>0.135</v>
      </c>
      <c r="K30" s="152">
        <v>1</v>
      </c>
      <c r="L30" s="152">
        <v>0.68</v>
      </c>
      <c r="M30" s="152">
        <v>4</v>
      </c>
      <c r="N30" s="152">
        <v>0</v>
      </c>
      <c r="O30" s="152">
        <v>0</v>
      </c>
      <c r="P30" s="152">
        <v>1.5</v>
      </c>
      <c r="Q30" s="152">
        <v>10</v>
      </c>
      <c r="R30" s="152">
        <v>0.1</v>
      </c>
      <c r="S30" s="152">
        <v>0.4</v>
      </c>
      <c r="T30" s="152">
        <v>0.95</v>
      </c>
      <c r="U30" s="152">
        <v>6</v>
      </c>
      <c r="V30" s="152">
        <v>6.5</v>
      </c>
      <c r="W30" s="152">
        <v>36.6</v>
      </c>
      <c r="X30" s="153">
        <f t="shared" si="2"/>
        <v>10.415</v>
      </c>
      <c r="Y30" s="153">
        <f t="shared" si="3"/>
        <v>63.5</v>
      </c>
    </row>
    <row r="31" spans="1:25" ht="12.75">
      <c r="A31" s="61" t="s">
        <v>41</v>
      </c>
      <c r="B31" s="146">
        <v>129</v>
      </c>
      <c r="C31" s="146">
        <v>1932.5</v>
      </c>
      <c r="D31" s="146">
        <v>33.8</v>
      </c>
      <c r="E31" s="146">
        <v>935.6</v>
      </c>
      <c r="F31" s="146">
        <v>45.2</v>
      </c>
      <c r="G31" s="146">
        <v>644.2</v>
      </c>
      <c r="H31" s="146">
        <v>71.5</v>
      </c>
      <c r="I31" s="146">
        <v>621.1</v>
      </c>
      <c r="J31" s="146">
        <v>4.9</v>
      </c>
      <c r="K31" s="146">
        <v>42.4</v>
      </c>
      <c r="L31" s="146">
        <v>100.7</v>
      </c>
      <c r="M31" s="146">
        <v>1344.2</v>
      </c>
      <c r="N31" s="146">
        <v>28.8</v>
      </c>
      <c r="O31" s="146">
        <v>262.4</v>
      </c>
      <c r="P31" s="146">
        <v>12.9</v>
      </c>
      <c r="Q31" s="146">
        <v>165.6</v>
      </c>
      <c r="R31" s="146">
        <v>47.2</v>
      </c>
      <c r="S31" s="146">
        <v>404.1</v>
      </c>
      <c r="T31" s="146">
        <v>0</v>
      </c>
      <c r="U31" s="146">
        <v>0</v>
      </c>
      <c r="V31" s="146">
        <v>186.8</v>
      </c>
      <c r="W31" s="146">
        <v>1862.7</v>
      </c>
      <c r="X31" s="61">
        <f t="shared" si="2"/>
        <v>660.8</v>
      </c>
      <c r="Y31" s="61">
        <f t="shared" si="3"/>
        <v>8214.800000000001</v>
      </c>
    </row>
    <row r="32" spans="1:25" s="46" customFormat="1" ht="12.75">
      <c r="A32" s="52" t="s">
        <v>42</v>
      </c>
      <c r="B32" s="152">
        <v>0.287</v>
      </c>
      <c r="C32" s="152">
        <v>7.09</v>
      </c>
      <c r="D32" s="152">
        <v>0</v>
      </c>
      <c r="E32" s="152">
        <v>0</v>
      </c>
      <c r="F32" s="152">
        <v>0</v>
      </c>
      <c r="G32" s="152">
        <v>0</v>
      </c>
      <c r="H32" s="152">
        <v>0.268</v>
      </c>
      <c r="I32" s="152">
        <v>3.35</v>
      </c>
      <c r="J32" s="152">
        <v>0</v>
      </c>
      <c r="K32" s="152">
        <v>0</v>
      </c>
      <c r="L32" s="152">
        <v>0.089</v>
      </c>
      <c r="M32" s="152">
        <v>0.412</v>
      </c>
      <c r="N32" s="152">
        <v>0.077</v>
      </c>
      <c r="O32" s="152">
        <v>0.298</v>
      </c>
      <c r="P32" s="152">
        <v>0</v>
      </c>
      <c r="Q32" s="152">
        <v>0</v>
      </c>
      <c r="R32" s="152">
        <v>0</v>
      </c>
      <c r="S32" s="152">
        <v>0</v>
      </c>
      <c r="T32" s="152">
        <v>0.755</v>
      </c>
      <c r="U32" s="152">
        <v>35.15</v>
      </c>
      <c r="V32" s="152">
        <v>1.175</v>
      </c>
      <c r="W32" s="152">
        <v>8.401</v>
      </c>
      <c r="X32" s="153">
        <f t="shared" si="2"/>
        <v>2.651</v>
      </c>
      <c r="Y32" s="153">
        <f t="shared" si="3"/>
        <v>54.70099999999999</v>
      </c>
    </row>
    <row r="33" spans="1:26" ht="12.75">
      <c r="A33" s="61" t="s">
        <v>43</v>
      </c>
      <c r="B33" s="146">
        <v>3</v>
      </c>
      <c r="C33" s="146">
        <v>44.8</v>
      </c>
      <c r="D33" s="146">
        <v>4</v>
      </c>
      <c r="E33" s="146">
        <v>88.2</v>
      </c>
      <c r="F33" s="146">
        <v>6.4</v>
      </c>
      <c r="G33" s="146">
        <v>148.1</v>
      </c>
      <c r="H33" s="146">
        <v>2.3</v>
      </c>
      <c r="I33" s="146">
        <v>17.3</v>
      </c>
      <c r="J33" s="146">
        <v>18.5</v>
      </c>
      <c r="K33" s="146">
        <v>111</v>
      </c>
      <c r="L33" s="146">
        <v>8.4</v>
      </c>
      <c r="M33" s="146">
        <v>202.3</v>
      </c>
      <c r="N33" s="146">
        <v>8</v>
      </c>
      <c r="O33" s="146">
        <v>171.7</v>
      </c>
      <c r="P33" s="146">
        <v>79</v>
      </c>
      <c r="Q33" s="146">
        <v>1477.3</v>
      </c>
      <c r="R33" s="146"/>
      <c r="S33" s="146"/>
      <c r="T33" s="146"/>
      <c r="U33" s="146"/>
      <c r="V33" s="146">
        <v>42</v>
      </c>
      <c r="W33" s="146">
        <v>511.4</v>
      </c>
      <c r="X33" s="61">
        <f t="shared" si="2"/>
        <v>171.6</v>
      </c>
      <c r="Y33" s="61">
        <f t="shared" si="3"/>
        <v>2772.1</v>
      </c>
      <c r="Z33" s="154"/>
    </row>
    <row r="34" spans="1:25" ht="12.75">
      <c r="A34" s="61" t="s">
        <v>44</v>
      </c>
      <c r="B34" s="146">
        <v>5.738</v>
      </c>
      <c r="C34" s="146">
        <v>37.253</v>
      </c>
      <c r="D34" s="146">
        <v>0</v>
      </c>
      <c r="E34" s="146">
        <v>0</v>
      </c>
      <c r="F34" s="146"/>
      <c r="G34" s="146"/>
      <c r="H34" s="146">
        <v>4.117</v>
      </c>
      <c r="I34" s="146">
        <v>12.968</v>
      </c>
      <c r="J34" s="146">
        <v>15.792</v>
      </c>
      <c r="K34" s="146">
        <v>12.612</v>
      </c>
      <c r="L34" s="146">
        <v>16.588</v>
      </c>
      <c r="M34" s="146">
        <v>55.508</v>
      </c>
      <c r="N34" s="146">
        <v>42.747</v>
      </c>
      <c r="O34" s="146">
        <v>391.636</v>
      </c>
      <c r="P34" s="146">
        <v>11.254</v>
      </c>
      <c r="Q34" s="146">
        <v>114.335</v>
      </c>
      <c r="R34" s="146">
        <v>2.114</v>
      </c>
      <c r="S34" s="146">
        <v>6.437</v>
      </c>
      <c r="T34" s="146"/>
      <c r="U34" s="146"/>
      <c r="V34" s="146">
        <f>4.352+0.569+3.037+1.308+4.03+1.287+0.594+10.378+1.053+0.839+0.531+2.181+0.288+14.335</f>
        <v>44.782</v>
      </c>
      <c r="W34" s="146">
        <f>19.428+3.401+12.377+11.431+15.075+4.103+2.016+53.916+10.763+8.255+0.951+5.057+1.973+73.834</f>
        <v>222.57999999999998</v>
      </c>
      <c r="X34" s="61">
        <f t="shared" si="2"/>
        <v>143.132</v>
      </c>
      <c r="Y34" s="61">
        <f t="shared" si="3"/>
        <v>853.329</v>
      </c>
    </row>
    <row r="35" spans="1:26" ht="12.75">
      <c r="A35" s="61" t="s">
        <v>45</v>
      </c>
      <c r="B35" s="147">
        <v>0.26</v>
      </c>
      <c r="C35" s="147">
        <v>1.084</v>
      </c>
      <c r="D35" s="147">
        <v>2.368</v>
      </c>
      <c r="E35" s="147">
        <v>14.134</v>
      </c>
      <c r="F35" s="147">
        <v>1.9</v>
      </c>
      <c r="G35" s="147">
        <v>8.779</v>
      </c>
      <c r="H35" s="147">
        <v>0.207</v>
      </c>
      <c r="I35" s="147">
        <v>0.923</v>
      </c>
      <c r="J35" s="147">
        <v>2.367</v>
      </c>
      <c r="K35" s="147">
        <v>14.521</v>
      </c>
      <c r="L35" s="147">
        <v>0.947</v>
      </c>
      <c r="M35" s="147">
        <v>4.372</v>
      </c>
      <c r="N35" s="147">
        <v>0.241</v>
      </c>
      <c r="O35" s="147">
        <v>1.068</v>
      </c>
      <c r="P35" s="147">
        <v>7.818</v>
      </c>
      <c r="Q35" s="147">
        <v>35.197</v>
      </c>
      <c r="R35" s="147">
        <v>0.265</v>
      </c>
      <c r="S35" s="147">
        <v>1.307</v>
      </c>
      <c r="T35" s="147">
        <v>0.341</v>
      </c>
      <c r="U35" s="147">
        <v>1.518</v>
      </c>
      <c r="V35" s="147">
        <v>3.353</v>
      </c>
      <c r="W35" s="147">
        <v>12.969</v>
      </c>
      <c r="X35" s="148">
        <f t="shared" si="2"/>
        <v>20.067</v>
      </c>
      <c r="Y35" s="148">
        <f t="shared" si="3"/>
        <v>95.872</v>
      </c>
      <c r="Z35" s="155"/>
    </row>
    <row r="36" spans="1:25" ht="12.75">
      <c r="A36" s="61" t="s">
        <v>46</v>
      </c>
      <c r="B36" s="146">
        <v>6.6</v>
      </c>
      <c r="C36" s="146">
        <v>73.4</v>
      </c>
      <c r="D36" s="146">
        <v>2.5</v>
      </c>
      <c r="E36" s="146">
        <v>141.2</v>
      </c>
      <c r="F36" s="146">
        <v>0.7</v>
      </c>
      <c r="G36" s="146">
        <v>13.9</v>
      </c>
      <c r="H36" s="146">
        <v>3.9</v>
      </c>
      <c r="I36" s="146">
        <v>29.1</v>
      </c>
      <c r="J36" s="146"/>
      <c r="K36" s="146"/>
      <c r="L36" s="146">
        <v>24.3</v>
      </c>
      <c r="M36" s="146">
        <v>307</v>
      </c>
      <c r="N36" s="146">
        <v>32.1</v>
      </c>
      <c r="O36" s="146">
        <v>280.3</v>
      </c>
      <c r="P36" s="146">
        <v>5.6</v>
      </c>
      <c r="Q36" s="146">
        <v>84</v>
      </c>
      <c r="R36" s="146">
        <v>1.2</v>
      </c>
      <c r="S36" s="146">
        <v>20.5</v>
      </c>
      <c r="T36" s="146">
        <v>151.5</v>
      </c>
      <c r="U36" s="146">
        <v>6114.4</v>
      </c>
      <c r="V36" s="146">
        <v>34.3</v>
      </c>
      <c r="W36" s="146">
        <v>911.9</v>
      </c>
      <c r="X36" s="61">
        <f t="shared" si="2"/>
        <v>262.7</v>
      </c>
      <c r="Y36" s="61">
        <f t="shared" si="3"/>
        <v>7975.699999999999</v>
      </c>
    </row>
    <row r="37" spans="1:25" ht="12.75">
      <c r="A37" s="61" t="s">
        <v>47</v>
      </c>
      <c r="B37" s="146">
        <v>2.8</v>
      </c>
      <c r="C37" s="146">
        <v>35.9</v>
      </c>
      <c r="D37" s="146">
        <v>2.1</v>
      </c>
      <c r="E37" s="146">
        <v>41.3</v>
      </c>
      <c r="F37" s="146">
        <v>1.9</v>
      </c>
      <c r="G37" s="146">
        <v>24.7</v>
      </c>
      <c r="H37" s="146">
        <v>1.5</v>
      </c>
      <c r="I37" s="146">
        <v>11.5</v>
      </c>
      <c r="J37" s="146"/>
      <c r="K37" s="146"/>
      <c r="L37" s="146">
        <v>1.3</v>
      </c>
      <c r="M37" s="146">
        <v>28.7</v>
      </c>
      <c r="N37" s="146"/>
      <c r="O37" s="146"/>
      <c r="P37" s="146">
        <v>5.9</v>
      </c>
      <c r="Q37" s="146">
        <v>115.3</v>
      </c>
      <c r="R37" s="146"/>
      <c r="S37" s="146"/>
      <c r="T37" s="146"/>
      <c r="U37" s="146"/>
      <c r="V37" s="146">
        <v>18.2</v>
      </c>
      <c r="W37" s="146">
        <v>166.2</v>
      </c>
      <c r="X37" s="61">
        <f t="shared" si="2"/>
        <v>33.7</v>
      </c>
      <c r="Y37" s="61">
        <f t="shared" si="3"/>
        <v>423.59999999999997</v>
      </c>
    </row>
    <row r="38" spans="1:25" ht="12.75">
      <c r="A38" s="61" t="s">
        <v>48</v>
      </c>
      <c r="B38" s="146">
        <v>3.125</v>
      </c>
      <c r="C38" s="146">
        <v>96.5</v>
      </c>
      <c r="D38" s="146">
        <v>2.2</v>
      </c>
      <c r="E38" s="146">
        <v>68.7</v>
      </c>
      <c r="F38" s="146">
        <v>7.7</v>
      </c>
      <c r="G38" s="146">
        <v>158.4</v>
      </c>
      <c r="H38" s="146">
        <v>9.2</v>
      </c>
      <c r="I38" s="146">
        <v>102.1</v>
      </c>
      <c r="J38" s="146">
        <v>158.1</v>
      </c>
      <c r="K38" s="146">
        <v>1398.6</v>
      </c>
      <c r="L38" s="146">
        <v>7.7</v>
      </c>
      <c r="M38" s="146">
        <v>323.2</v>
      </c>
      <c r="N38" s="146">
        <v>21.6</v>
      </c>
      <c r="O38" s="146">
        <v>295.8</v>
      </c>
      <c r="P38" s="146">
        <v>504.9</v>
      </c>
      <c r="Q38" s="146">
        <v>11094.9</v>
      </c>
      <c r="R38" s="146">
        <v>22.3</v>
      </c>
      <c r="S38" s="146">
        <v>259.9</v>
      </c>
      <c r="T38" s="146"/>
      <c r="U38" s="146"/>
      <c r="V38" s="146">
        <v>224</v>
      </c>
      <c r="W38" s="146">
        <v>5992.2</v>
      </c>
      <c r="X38" s="61">
        <f t="shared" si="2"/>
        <v>960.8249999999999</v>
      </c>
      <c r="Y38" s="61">
        <f t="shared" si="3"/>
        <v>19790.3</v>
      </c>
    </row>
    <row r="39" spans="1:25" ht="12.75">
      <c r="A39" s="61" t="s">
        <v>50</v>
      </c>
      <c r="B39" s="146">
        <v>1.7</v>
      </c>
      <c r="C39" s="146">
        <v>21.2</v>
      </c>
      <c r="D39" s="146">
        <v>4.9</v>
      </c>
      <c r="E39" s="146">
        <v>61.7</v>
      </c>
      <c r="F39" s="146">
        <v>2.5</v>
      </c>
      <c r="G39" s="146">
        <v>37.7</v>
      </c>
      <c r="H39" s="146">
        <v>2.8</v>
      </c>
      <c r="I39" s="146">
        <v>21.2</v>
      </c>
      <c r="J39" s="146">
        <v>11.1</v>
      </c>
      <c r="K39" s="146">
        <v>72.5</v>
      </c>
      <c r="L39" s="146">
        <v>8.5</v>
      </c>
      <c r="M39" s="146">
        <v>92.2</v>
      </c>
      <c r="N39" s="146">
        <v>3.4</v>
      </c>
      <c r="O39" s="146">
        <v>35.2</v>
      </c>
      <c r="P39" s="146">
        <v>23.7</v>
      </c>
      <c r="Q39" s="146">
        <v>483.6</v>
      </c>
      <c r="R39" s="146"/>
      <c r="S39" s="146"/>
      <c r="T39" s="146"/>
      <c r="U39" s="146"/>
      <c r="V39" s="146">
        <v>21.9</v>
      </c>
      <c r="W39" s="146">
        <v>210.9</v>
      </c>
      <c r="X39" s="61">
        <f t="shared" si="2"/>
        <v>80.5</v>
      </c>
      <c r="Y39" s="61">
        <f t="shared" si="3"/>
        <v>1036.2</v>
      </c>
    </row>
    <row r="40" spans="1:25" ht="12.75">
      <c r="A40" s="61" t="s">
        <v>51</v>
      </c>
      <c r="B40" s="146">
        <v>153.9</v>
      </c>
      <c r="C40" s="146">
        <v>2734.9</v>
      </c>
      <c r="D40" s="146">
        <v>73.2</v>
      </c>
      <c r="E40" s="146">
        <v>2016.1</v>
      </c>
      <c r="F40" s="146">
        <v>66.9</v>
      </c>
      <c r="G40" s="146">
        <v>1682.1</v>
      </c>
      <c r="H40" s="146">
        <v>71.5</v>
      </c>
      <c r="I40" s="146">
        <v>815.3</v>
      </c>
      <c r="J40" s="146">
        <v>20.9</v>
      </c>
      <c r="K40" s="146">
        <v>123.8</v>
      </c>
      <c r="L40" s="146">
        <v>51.1</v>
      </c>
      <c r="M40" s="146">
        <v>956.7</v>
      </c>
      <c r="N40" s="146">
        <v>18.7</v>
      </c>
      <c r="O40" s="146">
        <v>248.8</v>
      </c>
      <c r="P40" s="146">
        <v>400.8</v>
      </c>
      <c r="Q40" s="146">
        <v>9900.8</v>
      </c>
      <c r="R40" s="146">
        <v>23.3</v>
      </c>
      <c r="S40" s="146">
        <v>235.9</v>
      </c>
      <c r="T40" s="146"/>
      <c r="U40" s="146"/>
      <c r="V40" s="146">
        <v>432.8</v>
      </c>
      <c r="W40" s="146">
        <v>3742.4</v>
      </c>
      <c r="X40" s="61">
        <f t="shared" si="2"/>
        <v>1313.1</v>
      </c>
      <c r="Y40" s="61">
        <f t="shared" si="3"/>
        <v>22456.800000000003</v>
      </c>
    </row>
    <row r="41" spans="1:25" ht="12.75">
      <c r="A41" s="61" t="s">
        <v>13</v>
      </c>
      <c r="B41" s="61">
        <f aca="true" t="shared" si="4" ref="B41:Y41">SUM(B6:B40)</f>
        <v>561.359</v>
      </c>
      <c r="C41" s="61">
        <f t="shared" si="4"/>
        <v>9677.675</v>
      </c>
      <c r="D41" s="61">
        <f t="shared" si="4"/>
        <v>266.24899999999997</v>
      </c>
      <c r="E41" s="61">
        <f t="shared" si="4"/>
        <v>5910.393999999999</v>
      </c>
      <c r="F41" s="61">
        <f t="shared" si="4"/>
        <v>312.366</v>
      </c>
      <c r="G41" s="61">
        <f t="shared" si="4"/>
        <v>5777.1</v>
      </c>
      <c r="H41" s="61">
        <f t="shared" si="4"/>
        <v>406.87899999999996</v>
      </c>
      <c r="I41" s="61">
        <f t="shared" si="4"/>
        <v>4179.146</v>
      </c>
      <c r="J41" s="61">
        <f t="shared" si="4"/>
        <v>312.507</v>
      </c>
      <c r="K41" s="61">
        <f t="shared" si="4"/>
        <v>2491.138</v>
      </c>
      <c r="L41" s="61">
        <f t="shared" si="4"/>
        <v>566.301</v>
      </c>
      <c r="M41" s="61">
        <f t="shared" si="4"/>
        <v>10302.740000000002</v>
      </c>
      <c r="N41" s="61">
        <f t="shared" si="4"/>
        <v>820.9949999999999</v>
      </c>
      <c r="O41" s="61">
        <f t="shared" si="4"/>
        <v>13900.372</v>
      </c>
      <c r="P41" s="61">
        <f t="shared" si="4"/>
        <v>1794.993</v>
      </c>
      <c r="Q41" s="61">
        <f t="shared" si="4"/>
        <v>34658.282999999996</v>
      </c>
      <c r="R41" s="61">
        <f t="shared" si="4"/>
        <v>122.56900000000002</v>
      </c>
      <c r="S41" s="61">
        <f t="shared" si="4"/>
        <v>1094.334</v>
      </c>
      <c r="T41" s="61">
        <f t="shared" si="4"/>
        <v>269.74399999999997</v>
      </c>
      <c r="U41" s="61">
        <f t="shared" si="4"/>
        <v>9055.969</v>
      </c>
      <c r="V41" s="61">
        <f t="shared" si="4"/>
        <v>2414.382</v>
      </c>
      <c r="W41" s="61">
        <f t="shared" si="4"/>
        <v>31401.64000000001</v>
      </c>
      <c r="X41" s="61">
        <f t="shared" si="4"/>
        <v>7848.343999999999</v>
      </c>
      <c r="Y41" s="61">
        <f t="shared" si="4"/>
        <v>128448.79100000001</v>
      </c>
    </row>
    <row r="42" spans="2:25" ht="12.75">
      <c r="B42" s="157"/>
      <c r="X42" s="61">
        <f>B41+D41+F41+H41+J41+L41+N41+P41+R41+T41+V41</f>
        <v>7848.343999999999</v>
      </c>
      <c r="Y42" s="61">
        <f>C41+E41+G41+I41+K41+M41+O41+Q41+S41+U41+W41</f>
        <v>128448.79100000001</v>
      </c>
    </row>
    <row r="43" ht="12.75">
      <c r="A43" s="157"/>
    </row>
    <row r="45" ht="12.75">
      <c r="W45" s="158"/>
    </row>
  </sheetData>
  <sheetProtection/>
  <mergeCells count="15">
    <mergeCell ref="A1:V1"/>
    <mergeCell ref="T2:V2"/>
    <mergeCell ref="T3:W3"/>
    <mergeCell ref="J4:K4"/>
    <mergeCell ref="L4:M4"/>
    <mergeCell ref="N4:O4"/>
    <mergeCell ref="P4:Q4"/>
    <mergeCell ref="B4:C4"/>
    <mergeCell ref="D4:E4"/>
    <mergeCell ref="F4:G4"/>
    <mergeCell ref="H4:I4"/>
    <mergeCell ref="R4:S4"/>
    <mergeCell ref="T4:U4"/>
    <mergeCell ref="V4:W4"/>
    <mergeCell ref="X4:Y4"/>
  </mergeCells>
  <printOptions/>
  <pageMargins left="0.21" right="0.15748031496062992" top="0.86" bottom="0.7480314960629921" header="0.43" footer="0.31496062992125984"/>
  <pageSetup horizontalDpi="600" verticalDpi="600" orientation="landscape" scale="80" r:id="rId1"/>
  <headerFooter alignWithMargins="0">
    <oddHeader>&amp;CArea &amp; Production of Vegetables for the Year 2007-08
&amp;R&amp;"Arial,Bold"&amp;8Area '000' HA
Production '000' MT</oddHeader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97"/>
  <sheetViews>
    <sheetView showZeros="0" view="pageBreakPreview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1" sqref="A1:IV3"/>
    </sheetView>
  </sheetViews>
  <sheetFormatPr defaultColWidth="9.140625" defaultRowHeight="12.75"/>
  <cols>
    <col min="1" max="1" width="22.00390625" style="131" customWidth="1"/>
    <col min="2" max="2" width="8.8515625" style="131" customWidth="1"/>
    <col min="3" max="3" width="7.57421875" style="131" customWidth="1"/>
    <col min="4" max="5" width="7.421875" style="131" customWidth="1"/>
    <col min="6" max="6" width="11.57421875" style="131" bestFit="1" customWidth="1"/>
    <col min="7" max="7" width="7.57421875" style="131" customWidth="1"/>
    <col min="8" max="8" width="8.00390625" style="131" customWidth="1"/>
    <col min="9" max="9" width="10.140625" style="140" customWidth="1"/>
    <col min="10" max="10" width="7.28125" style="138" customWidth="1"/>
    <col min="11" max="11" width="8.8515625" style="138" customWidth="1"/>
    <col min="12" max="16384" width="9.140625" style="131" customWidth="1"/>
  </cols>
  <sheetData>
    <row r="1" spans="1:25" s="303" customFormat="1" ht="12.75">
      <c r="A1" s="301" t="s">
        <v>154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157"/>
      <c r="Y1" s="157"/>
    </row>
    <row r="2" spans="1:25" s="303" customFormat="1" ht="12.75">
      <c r="A2" s="302"/>
      <c r="B2" s="302"/>
      <c r="C2" s="302"/>
      <c r="D2" s="302"/>
      <c r="E2" s="302"/>
      <c r="F2" s="302"/>
      <c r="G2" s="302"/>
      <c r="H2" s="302" t="s">
        <v>148</v>
      </c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 t="s">
        <v>148</v>
      </c>
      <c r="U2" s="302"/>
      <c r="V2" s="302"/>
      <c r="W2" s="302"/>
      <c r="X2" s="157"/>
      <c r="Y2" s="157"/>
    </row>
    <row r="3" spans="1:25" s="303" customFormat="1" ht="12.75">
      <c r="A3" s="302"/>
      <c r="B3" s="302"/>
      <c r="C3" s="302"/>
      <c r="D3" s="302"/>
      <c r="E3" s="302"/>
      <c r="F3" s="302"/>
      <c r="G3" s="302"/>
      <c r="H3" s="302" t="s">
        <v>149</v>
      </c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 t="s">
        <v>149</v>
      </c>
      <c r="U3" s="302"/>
      <c r="V3" s="302"/>
      <c r="W3" s="302"/>
      <c r="X3" s="157"/>
      <c r="Y3" s="157"/>
    </row>
    <row r="4" spans="1:11" s="124" customFormat="1" ht="12.75">
      <c r="A4" s="123" t="s">
        <v>63</v>
      </c>
      <c r="B4" s="280" t="s">
        <v>64</v>
      </c>
      <c r="C4" s="280"/>
      <c r="D4" s="280" t="s">
        <v>65</v>
      </c>
      <c r="E4" s="280"/>
      <c r="F4" s="280" t="s">
        <v>66</v>
      </c>
      <c r="G4" s="280"/>
      <c r="H4" s="280" t="s">
        <v>67</v>
      </c>
      <c r="I4" s="280"/>
      <c r="J4" s="280" t="s">
        <v>68</v>
      </c>
      <c r="K4" s="280"/>
    </row>
    <row r="5" spans="1:11" s="127" customFormat="1" ht="12.75">
      <c r="A5" s="123"/>
      <c r="B5" s="125" t="s">
        <v>62</v>
      </c>
      <c r="C5" s="125" t="s">
        <v>15</v>
      </c>
      <c r="D5" s="125" t="s">
        <v>62</v>
      </c>
      <c r="E5" s="125" t="s">
        <v>15</v>
      </c>
      <c r="F5" s="125" t="s">
        <v>62</v>
      </c>
      <c r="G5" s="125" t="s">
        <v>15</v>
      </c>
      <c r="H5" s="125" t="s">
        <v>62</v>
      </c>
      <c r="I5" s="126" t="s">
        <v>15</v>
      </c>
      <c r="J5" s="125" t="s">
        <v>62</v>
      </c>
      <c r="K5" s="125" t="s">
        <v>15</v>
      </c>
    </row>
    <row r="6" spans="1:11" ht="12.75">
      <c r="A6" s="123"/>
      <c r="B6" s="128"/>
      <c r="C6" s="128"/>
      <c r="D6" s="128"/>
      <c r="E6" s="128"/>
      <c r="F6" s="128"/>
      <c r="G6" s="128"/>
      <c r="H6" s="128"/>
      <c r="I6" s="129"/>
      <c r="J6" s="130"/>
      <c r="K6" s="130"/>
    </row>
    <row r="7" spans="1:11" ht="12.75">
      <c r="A7" s="130" t="s">
        <v>69</v>
      </c>
      <c r="B7" s="128"/>
      <c r="C7" s="128"/>
      <c r="D7" s="132">
        <v>4.1</v>
      </c>
      <c r="E7" s="132">
        <v>5.7</v>
      </c>
      <c r="F7" s="132"/>
      <c r="G7" s="132"/>
      <c r="H7" s="133">
        <v>21.6</v>
      </c>
      <c r="I7" s="134">
        <f>80600/1453</f>
        <v>55.47143840330351</v>
      </c>
      <c r="J7" s="135">
        <f aca="true" t="shared" si="0" ref="J7:J42">B7+D7+F7+H7</f>
        <v>25.700000000000003</v>
      </c>
      <c r="K7" s="135">
        <f aca="true" t="shared" si="1" ref="K7:K42">C7+E7+G7+I7</f>
        <v>61.17143840330351</v>
      </c>
    </row>
    <row r="8" spans="1:11" ht="12.75">
      <c r="A8" s="130" t="s">
        <v>17</v>
      </c>
      <c r="B8" s="128">
        <v>171</v>
      </c>
      <c r="C8" s="128">
        <v>107</v>
      </c>
      <c r="D8" s="128">
        <v>0.3</v>
      </c>
      <c r="E8" s="128">
        <v>0.2</v>
      </c>
      <c r="F8" s="128">
        <v>12.7</v>
      </c>
      <c r="G8" s="128">
        <v>1.6</v>
      </c>
      <c r="H8" s="136">
        <v>101.32</v>
      </c>
      <c r="I8" s="134">
        <f>1119200/1453</f>
        <v>770.2684101858224</v>
      </c>
      <c r="J8" s="130">
        <f t="shared" si="0"/>
        <v>285.32</v>
      </c>
      <c r="K8" s="130">
        <f t="shared" si="1"/>
        <v>879.0684101858224</v>
      </c>
    </row>
    <row r="9" spans="1:11" ht="12.75">
      <c r="A9" s="130" t="s">
        <v>18</v>
      </c>
      <c r="B9" s="128"/>
      <c r="C9" s="128"/>
      <c r="D9" s="128"/>
      <c r="E9" s="128"/>
      <c r="F9" s="128"/>
      <c r="G9" s="128"/>
      <c r="H9" s="136"/>
      <c r="I9" s="134"/>
      <c r="J9" s="130">
        <f t="shared" si="0"/>
        <v>0</v>
      </c>
      <c r="K9" s="130">
        <f t="shared" si="1"/>
        <v>0</v>
      </c>
    </row>
    <row r="10" spans="1:11" ht="12.75">
      <c r="A10" s="130" t="s">
        <v>19</v>
      </c>
      <c r="B10" s="128">
        <v>15</v>
      </c>
      <c r="C10" s="128">
        <v>12</v>
      </c>
      <c r="D10" s="128">
        <v>70.3</v>
      </c>
      <c r="E10" s="128">
        <v>68.8</v>
      </c>
      <c r="F10" s="128"/>
      <c r="G10" s="128"/>
      <c r="H10" s="136">
        <v>19</v>
      </c>
      <c r="I10" s="134">
        <f>136000/1453</f>
        <v>93.59944941500343</v>
      </c>
      <c r="J10" s="130">
        <f t="shared" si="0"/>
        <v>104.3</v>
      </c>
      <c r="K10" s="130">
        <f t="shared" si="1"/>
        <v>174.39944941500343</v>
      </c>
    </row>
    <row r="11" spans="1:11" ht="12.75">
      <c r="A11" s="130" t="s">
        <v>20</v>
      </c>
      <c r="B11" s="128"/>
      <c r="C11" s="128"/>
      <c r="D11" s="128"/>
      <c r="E11" s="128"/>
      <c r="F11" s="128"/>
      <c r="G11" s="128"/>
      <c r="H11" s="136"/>
      <c r="I11" s="134"/>
      <c r="J11" s="130">
        <f t="shared" si="0"/>
        <v>0</v>
      </c>
      <c r="K11" s="130">
        <f t="shared" si="1"/>
        <v>0</v>
      </c>
    </row>
    <row r="12" spans="1:11" ht="12.75">
      <c r="A12" s="130" t="s">
        <v>21</v>
      </c>
      <c r="B12" s="128"/>
      <c r="C12" s="128"/>
      <c r="D12" s="128"/>
      <c r="E12" s="128"/>
      <c r="F12" s="128"/>
      <c r="G12" s="128"/>
      <c r="H12" s="136"/>
      <c r="I12" s="134"/>
      <c r="J12" s="130">
        <f t="shared" si="0"/>
        <v>0</v>
      </c>
      <c r="K12" s="130">
        <f t="shared" si="1"/>
        <v>0</v>
      </c>
    </row>
    <row r="13" spans="1:11" ht="12.75">
      <c r="A13" s="130" t="s">
        <v>70</v>
      </c>
      <c r="B13" s="128"/>
      <c r="C13" s="128"/>
      <c r="D13" s="128"/>
      <c r="E13" s="128"/>
      <c r="F13" s="128"/>
      <c r="G13" s="128"/>
      <c r="H13" s="136"/>
      <c r="I13" s="134"/>
      <c r="J13" s="130">
        <f t="shared" si="0"/>
        <v>0</v>
      </c>
      <c r="K13" s="130">
        <f t="shared" si="1"/>
        <v>0</v>
      </c>
    </row>
    <row r="14" spans="1:11" ht="12.75">
      <c r="A14" s="130" t="s">
        <v>23</v>
      </c>
      <c r="B14" s="128"/>
      <c r="C14" s="128"/>
      <c r="D14" s="128"/>
      <c r="E14" s="128"/>
      <c r="F14" s="128"/>
      <c r="G14" s="128"/>
      <c r="H14" s="136"/>
      <c r="I14" s="134"/>
      <c r="J14" s="130">
        <f t="shared" si="0"/>
        <v>0</v>
      </c>
      <c r="K14" s="130">
        <f t="shared" si="1"/>
        <v>0</v>
      </c>
    </row>
    <row r="15" spans="1:11" ht="12.75">
      <c r="A15" s="130" t="s">
        <v>24</v>
      </c>
      <c r="B15" s="128"/>
      <c r="C15" s="128"/>
      <c r="D15" s="128"/>
      <c r="E15" s="128"/>
      <c r="F15" s="128"/>
      <c r="G15" s="128"/>
      <c r="H15" s="136"/>
      <c r="I15" s="134"/>
      <c r="J15" s="130">
        <f t="shared" si="0"/>
        <v>0</v>
      </c>
      <c r="K15" s="130">
        <f t="shared" si="1"/>
        <v>0</v>
      </c>
    </row>
    <row r="16" spans="1:11" ht="12.75">
      <c r="A16" s="130" t="s">
        <v>25</v>
      </c>
      <c r="B16" s="128"/>
      <c r="C16" s="128"/>
      <c r="D16" s="128"/>
      <c r="E16" s="128"/>
      <c r="F16" s="128"/>
      <c r="G16" s="128"/>
      <c r="H16" s="136"/>
      <c r="I16" s="134"/>
      <c r="J16" s="130">
        <f t="shared" si="0"/>
        <v>0</v>
      </c>
      <c r="K16" s="130">
        <f t="shared" si="1"/>
        <v>0</v>
      </c>
    </row>
    <row r="17" spans="1:11" ht="12.75">
      <c r="A17" s="130" t="s">
        <v>26</v>
      </c>
      <c r="B17" s="128">
        <v>55</v>
      </c>
      <c r="C17" s="128">
        <v>31</v>
      </c>
      <c r="D17" s="128">
        <v>1.7</v>
      </c>
      <c r="E17" s="128">
        <v>2.6</v>
      </c>
      <c r="F17" s="128"/>
      <c r="G17" s="128"/>
      <c r="H17" s="136">
        <v>25.5</v>
      </c>
      <c r="I17" s="134">
        <f>127600/1453</f>
        <v>87.81830695113558</v>
      </c>
      <c r="J17" s="130">
        <f t="shared" si="0"/>
        <v>82.2</v>
      </c>
      <c r="K17" s="130">
        <f t="shared" si="1"/>
        <v>121.41830695113558</v>
      </c>
    </row>
    <row r="18" spans="1:11" ht="12.75">
      <c r="A18" s="130" t="s">
        <v>27</v>
      </c>
      <c r="B18" s="128">
        <v>4</v>
      </c>
      <c r="C18" s="128">
        <v>4</v>
      </c>
      <c r="D18" s="128"/>
      <c r="E18" s="128"/>
      <c r="F18" s="128"/>
      <c r="G18" s="128"/>
      <c r="H18" s="136">
        <v>16.4</v>
      </c>
      <c r="I18" s="134">
        <f>138300/1453</f>
        <v>95.18238128011012</v>
      </c>
      <c r="J18" s="130">
        <f t="shared" si="0"/>
        <v>20.4</v>
      </c>
      <c r="K18" s="130">
        <f t="shared" si="1"/>
        <v>99.18238128011012</v>
      </c>
    </row>
    <row r="19" spans="1:11" ht="12.75">
      <c r="A19" s="130" t="s">
        <v>28</v>
      </c>
      <c r="B19" s="128"/>
      <c r="C19" s="128"/>
      <c r="D19" s="128"/>
      <c r="E19" s="128"/>
      <c r="F19" s="128"/>
      <c r="G19" s="128"/>
      <c r="H19" s="136"/>
      <c r="I19" s="134"/>
      <c r="J19" s="130">
        <f t="shared" si="0"/>
        <v>0</v>
      </c>
      <c r="K19" s="130">
        <f t="shared" si="1"/>
        <v>0</v>
      </c>
    </row>
    <row r="20" spans="1:11" ht="12.75">
      <c r="A20" s="130" t="s">
        <v>29</v>
      </c>
      <c r="B20" s="128"/>
      <c r="C20" s="128"/>
      <c r="D20" s="128"/>
      <c r="E20" s="128"/>
      <c r="F20" s="128"/>
      <c r="G20" s="128"/>
      <c r="H20" s="136"/>
      <c r="I20" s="134"/>
      <c r="J20" s="130">
        <f t="shared" si="0"/>
        <v>0</v>
      </c>
      <c r="K20" s="130">
        <f t="shared" si="1"/>
        <v>0</v>
      </c>
    </row>
    <row r="21" spans="1:11" ht="12.75">
      <c r="A21" s="130" t="s">
        <v>30</v>
      </c>
      <c r="B21" s="128"/>
      <c r="C21" s="128"/>
      <c r="D21" s="128"/>
      <c r="E21" s="128"/>
      <c r="F21" s="128"/>
      <c r="G21" s="128"/>
      <c r="H21" s="136"/>
      <c r="I21" s="134"/>
      <c r="J21" s="130">
        <f t="shared" si="0"/>
        <v>0</v>
      </c>
      <c r="K21" s="130">
        <f t="shared" si="1"/>
        <v>0</v>
      </c>
    </row>
    <row r="22" spans="1:11" ht="12.75">
      <c r="A22" s="130" t="s">
        <v>31</v>
      </c>
      <c r="B22" s="128"/>
      <c r="C22" s="128"/>
      <c r="D22" s="128"/>
      <c r="E22" s="128"/>
      <c r="F22" s="128"/>
      <c r="G22" s="128"/>
      <c r="H22" s="136"/>
      <c r="I22" s="134"/>
      <c r="J22" s="130">
        <f t="shared" si="0"/>
        <v>0</v>
      </c>
      <c r="K22" s="130">
        <f t="shared" si="1"/>
        <v>0</v>
      </c>
    </row>
    <row r="23" spans="1:11" ht="12.75">
      <c r="A23" s="130" t="s">
        <v>32</v>
      </c>
      <c r="B23" s="128">
        <v>103</v>
      </c>
      <c r="C23" s="128">
        <v>56</v>
      </c>
      <c r="D23" s="128">
        <v>168</v>
      </c>
      <c r="E23" s="128">
        <v>224</v>
      </c>
      <c r="F23" s="128">
        <v>7.2</v>
      </c>
      <c r="G23" s="128">
        <v>2.8</v>
      </c>
      <c r="H23" s="136">
        <v>405</v>
      </c>
      <c r="I23" s="134">
        <f>1636000/1453</f>
        <v>1125.9463179628356</v>
      </c>
      <c r="J23" s="130">
        <f t="shared" si="0"/>
        <v>683.2</v>
      </c>
      <c r="K23" s="130">
        <f t="shared" si="1"/>
        <v>1408.7463179628355</v>
      </c>
    </row>
    <row r="24" spans="1:11" ht="12.75">
      <c r="A24" s="130" t="s">
        <v>33</v>
      </c>
      <c r="B24" s="128">
        <v>84</v>
      </c>
      <c r="C24" s="128">
        <v>78</v>
      </c>
      <c r="D24" s="128">
        <v>108.3</v>
      </c>
      <c r="E24" s="128">
        <v>110</v>
      </c>
      <c r="F24" s="128">
        <v>10.5</v>
      </c>
      <c r="G24" s="128">
        <v>6</v>
      </c>
      <c r="H24" s="136">
        <v>818.8</v>
      </c>
      <c r="I24" s="134">
        <f>5641000/1453</f>
        <v>3882.312456985547</v>
      </c>
      <c r="J24" s="130">
        <f t="shared" si="0"/>
        <v>1021.5999999999999</v>
      </c>
      <c r="K24" s="130">
        <f t="shared" si="1"/>
        <v>4076.312456985547</v>
      </c>
    </row>
    <row r="25" spans="1:11" ht="12.75">
      <c r="A25" s="130" t="s">
        <v>71</v>
      </c>
      <c r="B25" s="132"/>
      <c r="C25" s="132"/>
      <c r="D25" s="132"/>
      <c r="E25" s="132"/>
      <c r="F25" s="132"/>
      <c r="G25" s="132"/>
      <c r="H25" s="133">
        <v>2.7</v>
      </c>
      <c r="I25" s="134">
        <f>53000/1453</f>
        <v>36.4762560220234</v>
      </c>
      <c r="J25" s="135">
        <f t="shared" si="0"/>
        <v>2.7</v>
      </c>
      <c r="K25" s="135">
        <f t="shared" si="1"/>
        <v>36.4762560220234</v>
      </c>
    </row>
    <row r="26" spans="1:11" ht="12.75">
      <c r="A26" s="130" t="s">
        <v>35</v>
      </c>
      <c r="B26" s="128"/>
      <c r="C26" s="128"/>
      <c r="D26" s="128"/>
      <c r="E26" s="128"/>
      <c r="F26" s="128"/>
      <c r="G26" s="128"/>
      <c r="H26" s="136"/>
      <c r="I26" s="134"/>
      <c r="J26" s="130">
        <f t="shared" si="0"/>
        <v>0</v>
      </c>
      <c r="K26" s="130">
        <f t="shared" si="1"/>
        <v>0</v>
      </c>
    </row>
    <row r="27" spans="1:11" ht="12.75">
      <c r="A27" s="130" t="s">
        <v>36</v>
      </c>
      <c r="B27" s="128">
        <v>167</v>
      </c>
      <c r="C27" s="128">
        <v>210</v>
      </c>
      <c r="D27" s="128">
        <v>2.2</v>
      </c>
      <c r="E27" s="128">
        <v>3.6</v>
      </c>
      <c r="F27" s="128"/>
      <c r="G27" s="128"/>
      <c r="H27" s="136">
        <v>21</v>
      </c>
      <c r="I27" s="134">
        <f>175100/1453</f>
        <v>120.50929112181693</v>
      </c>
      <c r="J27" s="130">
        <f t="shared" si="0"/>
        <v>190.2</v>
      </c>
      <c r="K27" s="130">
        <f t="shared" si="1"/>
        <v>334.1092911218169</v>
      </c>
    </row>
    <row r="28" spans="1:11" ht="12.75">
      <c r="A28" s="130" t="s">
        <v>37</v>
      </c>
      <c r="B28" s="128"/>
      <c r="C28" s="128"/>
      <c r="D28" s="128"/>
      <c r="E28" s="128"/>
      <c r="F28" s="128"/>
      <c r="G28" s="128"/>
      <c r="H28" s="136"/>
      <c r="I28" s="134"/>
      <c r="J28" s="130">
        <f t="shared" si="0"/>
        <v>0</v>
      </c>
      <c r="K28" s="130">
        <f t="shared" si="1"/>
        <v>0</v>
      </c>
    </row>
    <row r="29" spans="1:11" ht="12.75">
      <c r="A29" s="130" t="s">
        <v>38</v>
      </c>
      <c r="B29" s="132"/>
      <c r="C29" s="132"/>
      <c r="D29" s="132">
        <v>12.1</v>
      </c>
      <c r="E29" s="132">
        <v>16.5</v>
      </c>
      <c r="F29" s="132"/>
      <c r="G29" s="132"/>
      <c r="H29" s="133"/>
      <c r="I29" s="134"/>
      <c r="J29" s="135">
        <f t="shared" si="0"/>
        <v>12.1</v>
      </c>
      <c r="K29" s="135">
        <f t="shared" si="1"/>
        <v>16.5</v>
      </c>
    </row>
    <row r="30" spans="1:11" ht="12.75">
      <c r="A30" s="130" t="s">
        <v>39</v>
      </c>
      <c r="B30" s="132"/>
      <c r="C30" s="132"/>
      <c r="D30" s="132">
        <v>2</v>
      </c>
      <c r="E30" s="132">
        <v>5.3</v>
      </c>
      <c r="F30" s="132"/>
      <c r="G30" s="132"/>
      <c r="H30" s="133"/>
      <c r="I30" s="134"/>
      <c r="J30" s="135">
        <f t="shared" si="0"/>
        <v>2</v>
      </c>
      <c r="K30" s="135">
        <f t="shared" si="1"/>
        <v>5.3</v>
      </c>
    </row>
    <row r="31" spans="1:11" ht="12.75">
      <c r="A31" s="130" t="s">
        <v>40</v>
      </c>
      <c r="B31" s="132"/>
      <c r="C31" s="132"/>
      <c r="D31" s="132">
        <v>0.2</v>
      </c>
      <c r="E31" s="132">
        <v>1.3</v>
      </c>
      <c r="F31" s="132"/>
      <c r="G31" s="132"/>
      <c r="H31" s="133">
        <v>0.9</v>
      </c>
      <c r="I31" s="134">
        <f>200/1453</f>
        <v>0.13764624913971094</v>
      </c>
      <c r="J31" s="135">
        <f t="shared" si="0"/>
        <v>1.1</v>
      </c>
      <c r="K31" s="135">
        <f t="shared" si="1"/>
        <v>1.437646249139711</v>
      </c>
    </row>
    <row r="32" spans="1:11" ht="12.75">
      <c r="A32" s="130" t="s">
        <v>72</v>
      </c>
      <c r="B32" s="128">
        <v>131</v>
      </c>
      <c r="C32" s="128">
        <v>90</v>
      </c>
      <c r="D32" s="128"/>
      <c r="E32" s="128"/>
      <c r="F32" s="128"/>
      <c r="G32" s="128"/>
      <c r="H32" s="136">
        <v>51</v>
      </c>
      <c r="I32" s="134">
        <f>275800/1453</f>
        <v>189.8141775636614</v>
      </c>
      <c r="J32" s="130">
        <f t="shared" si="0"/>
        <v>182</v>
      </c>
      <c r="K32" s="130">
        <f t="shared" si="1"/>
        <v>279.81417756366136</v>
      </c>
    </row>
    <row r="33" spans="1:11" ht="12.75">
      <c r="A33" s="130" t="s">
        <v>42</v>
      </c>
      <c r="B33" s="132">
        <v>5</v>
      </c>
      <c r="C33" s="132">
        <v>2</v>
      </c>
      <c r="D33" s="132">
        <v>0.1</v>
      </c>
      <c r="E33" s="132">
        <v>0.1</v>
      </c>
      <c r="F33" s="132"/>
      <c r="G33" s="132"/>
      <c r="H33" s="133">
        <v>2.2</v>
      </c>
      <c r="I33" s="134">
        <f>26600/1453</f>
        <v>18.306951135581556</v>
      </c>
      <c r="J33" s="135">
        <f t="shared" si="0"/>
        <v>7.3</v>
      </c>
      <c r="K33" s="135">
        <f t="shared" si="1"/>
        <v>20.406951135581558</v>
      </c>
    </row>
    <row r="34" spans="1:11" ht="12.75">
      <c r="A34" s="130" t="s">
        <v>43</v>
      </c>
      <c r="B34" s="128"/>
      <c r="C34" s="128"/>
      <c r="D34" s="128"/>
      <c r="E34" s="128"/>
      <c r="F34" s="128"/>
      <c r="G34" s="128"/>
      <c r="H34" s="136"/>
      <c r="I34" s="134"/>
      <c r="J34" s="130">
        <f t="shared" si="0"/>
        <v>0</v>
      </c>
      <c r="K34" s="130">
        <f t="shared" si="1"/>
        <v>0</v>
      </c>
    </row>
    <row r="35" spans="1:11" ht="12.75">
      <c r="A35" s="130" t="s">
        <v>44</v>
      </c>
      <c r="B35" s="128"/>
      <c r="C35" s="128"/>
      <c r="D35" s="128"/>
      <c r="E35" s="128"/>
      <c r="F35" s="128"/>
      <c r="G35" s="128"/>
      <c r="H35" s="136"/>
      <c r="I35" s="134"/>
      <c r="J35" s="130">
        <f t="shared" si="0"/>
        <v>0</v>
      </c>
      <c r="K35" s="130">
        <f t="shared" si="1"/>
        <v>0</v>
      </c>
    </row>
    <row r="36" spans="1:11" ht="12.75">
      <c r="A36" s="130" t="s">
        <v>45</v>
      </c>
      <c r="B36" s="128"/>
      <c r="C36" s="128"/>
      <c r="D36" s="128"/>
      <c r="E36" s="128"/>
      <c r="F36" s="128"/>
      <c r="G36" s="128"/>
      <c r="H36" s="136"/>
      <c r="I36" s="134"/>
      <c r="J36" s="130">
        <f t="shared" si="0"/>
        <v>0</v>
      </c>
      <c r="K36" s="130">
        <f t="shared" si="1"/>
        <v>0</v>
      </c>
    </row>
    <row r="37" spans="1:11" ht="12.75">
      <c r="A37" s="130" t="s">
        <v>73</v>
      </c>
      <c r="B37" s="128">
        <v>123</v>
      </c>
      <c r="C37" s="128">
        <v>65</v>
      </c>
      <c r="D37" s="128">
        <v>4.9</v>
      </c>
      <c r="E37" s="128">
        <v>9</v>
      </c>
      <c r="F37" s="128">
        <v>1.4</v>
      </c>
      <c r="G37" s="128">
        <v>0.2</v>
      </c>
      <c r="H37" s="136">
        <v>383.37</v>
      </c>
      <c r="I37" s="134">
        <f>4968200/1453</f>
        <v>3419.2704748795595</v>
      </c>
      <c r="J37" s="130">
        <f t="shared" si="0"/>
        <v>512.6700000000001</v>
      </c>
      <c r="K37" s="130">
        <f t="shared" si="1"/>
        <v>3493.4704748795593</v>
      </c>
    </row>
    <row r="38" spans="1:11" ht="12.75">
      <c r="A38" s="130" t="s">
        <v>47</v>
      </c>
      <c r="B38" s="132"/>
      <c r="C38" s="132"/>
      <c r="D38" s="132">
        <v>3.4</v>
      </c>
      <c r="E38" s="132">
        <v>6.9</v>
      </c>
      <c r="F38" s="132"/>
      <c r="G38" s="132"/>
      <c r="H38" s="133">
        <v>5.8</v>
      </c>
      <c r="I38" s="134">
        <f>11400/1453</f>
        <v>7.845836200963523</v>
      </c>
      <c r="J38" s="135">
        <f t="shared" si="0"/>
        <v>9.2</v>
      </c>
      <c r="K38" s="135">
        <f t="shared" si="1"/>
        <v>14.745836200963524</v>
      </c>
    </row>
    <row r="39" spans="1:11" ht="12.75">
      <c r="A39" s="130" t="s">
        <v>48</v>
      </c>
      <c r="B39" s="128"/>
      <c r="C39" s="128"/>
      <c r="D39" s="128"/>
      <c r="E39" s="128"/>
      <c r="F39" s="128"/>
      <c r="G39" s="128"/>
      <c r="H39" s="136"/>
      <c r="I39" s="134"/>
      <c r="J39" s="130">
        <f t="shared" si="0"/>
        <v>0</v>
      </c>
      <c r="K39" s="130">
        <f t="shared" si="1"/>
        <v>0</v>
      </c>
    </row>
    <row r="40" spans="1:11" ht="12.75">
      <c r="A40" s="130" t="s">
        <v>50</v>
      </c>
      <c r="B40" s="128"/>
      <c r="C40" s="128"/>
      <c r="D40" s="128"/>
      <c r="E40" s="128"/>
      <c r="F40" s="128"/>
      <c r="G40" s="128"/>
      <c r="H40" s="136"/>
      <c r="I40" s="134"/>
      <c r="J40" s="130">
        <f t="shared" si="0"/>
        <v>0</v>
      </c>
      <c r="K40" s="130">
        <f t="shared" si="1"/>
        <v>0</v>
      </c>
    </row>
    <row r="41" spans="1:11" ht="12.75">
      <c r="A41" s="130" t="s">
        <v>51</v>
      </c>
      <c r="B41" s="128">
        <v>10</v>
      </c>
      <c r="C41" s="128">
        <v>10</v>
      </c>
      <c r="D41" s="128">
        <v>9</v>
      </c>
      <c r="E41" s="128">
        <v>22</v>
      </c>
      <c r="F41" s="128"/>
      <c r="G41" s="128"/>
      <c r="H41" s="136">
        <v>28.6</v>
      </c>
      <c r="I41" s="134">
        <f>356500/1453</f>
        <v>245.35443909153474</v>
      </c>
      <c r="J41" s="130">
        <f t="shared" si="0"/>
        <v>47.6</v>
      </c>
      <c r="K41" s="130">
        <f t="shared" si="1"/>
        <v>277.35443909153474</v>
      </c>
    </row>
    <row r="42" spans="1:11" s="138" customFormat="1" ht="12.75">
      <c r="A42" s="130" t="s">
        <v>13</v>
      </c>
      <c r="B42" s="130">
        <f>(SUM(B7:B41))</f>
        <v>868</v>
      </c>
      <c r="C42" s="130">
        <f>(SUM(C7:C41))</f>
        <v>665</v>
      </c>
      <c r="D42" s="130">
        <f aca="true" t="shared" si="2" ref="D42:I42">SUM(D7:D41)</f>
        <v>386.59999999999997</v>
      </c>
      <c r="E42" s="130">
        <f t="shared" si="2"/>
        <v>476.00000000000006</v>
      </c>
      <c r="F42" s="130">
        <f t="shared" si="2"/>
        <v>31.799999999999997</v>
      </c>
      <c r="G42" s="130">
        <f t="shared" si="2"/>
        <v>10.6</v>
      </c>
      <c r="H42" s="130">
        <f t="shared" si="2"/>
        <v>1903.1899999999998</v>
      </c>
      <c r="I42" s="137">
        <f t="shared" si="2"/>
        <v>10148.313833448037</v>
      </c>
      <c r="J42" s="130">
        <f t="shared" si="0"/>
        <v>3189.5899999999997</v>
      </c>
      <c r="K42" s="130">
        <f t="shared" si="1"/>
        <v>11299.913833448038</v>
      </c>
    </row>
    <row r="43" spans="1:11" ht="12.75">
      <c r="A43" s="139"/>
      <c r="B43" s="139"/>
      <c r="C43" s="139"/>
      <c r="D43" s="139"/>
      <c r="E43" s="139"/>
      <c r="F43" s="139"/>
      <c r="G43" s="139"/>
      <c r="H43" s="139"/>
      <c r="J43" s="130">
        <f>SUM(J7:J41)</f>
        <v>3189.5899999999992</v>
      </c>
      <c r="K43" s="130">
        <f>SUM(K7:K41)</f>
        <v>11299.913833448038</v>
      </c>
    </row>
    <row r="44" spans="1:11" ht="12.75">
      <c r="A44" s="139"/>
      <c r="B44" s="139"/>
      <c r="C44" s="139"/>
      <c r="D44" s="139"/>
      <c r="E44" s="139"/>
      <c r="F44" s="139"/>
      <c r="G44" s="139"/>
      <c r="H44" s="139"/>
      <c r="J44" s="141"/>
      <c r="K44" s="141"/>
    </row>
    <row r="45" spans="1:11" ht="12.75">
      <c r="A45" s="139"/>
      <c r="B45" s="139"/>
      <c r="C45" s="139"/>
      <c r="D45" s="139"/>
      <c r="E45" s="139"/>
      <c r="F45" s="139"/>
      <c r="G45" s="139"/>
      <c r="H45" s="139"/>
      <c r="J45" s="141"/>
      <c r="K45" s="141"/>
    </row>
    <row r="46" spans="1:11" ht="12.75">
      <c r="A46" s="139"/>
      <c r="B46" s="139"/>
      <c r="C46" s="139"/>
      <c r="D46" s="139"/>
      <c r="E46" s="139"/>
      <c r="F46" s="139"/>
      <c r="G46" s="139"/>
      <c r="H46" s="139"/>
      <c r="J46" s="141"/>
      <c r="K46" s="141"/>
    </row>
    <row r="47" spans="1:11" ht="12.75">
      <c r="A47" s="139"/>
      <c r="B47" s="139"/>
      <c r="C47" s="139"/>
      <c r="D47" s="139"/>
      <c r="E47" s="139"/>
      <c r="F47" s="139"/>
      <c r="G47" s="139"/>
      <c r="H47" s="139"/>
      <c r="J47" s="141"/>
      <c r="K47" s="141"/>
    </row>
    <row r="48" spans="1:11" ht="12.75">
      <c r="A48" s="139"/>
      <c r="B48" s="139"/>
      <c r="C48" s="139"/>
      <c r="D48" s="139"/>
      <c r="E48" s="139"/>
      <c r="F48" s="139"/>
      <c r="G48" s="139"/>
      <c r="H48" s="139"/>
      <c r="J48" s="141"/>
      <c r="K48" s="141"/>
    </row>
    <row r="49" spans="1:11" ht="12.75">
      <c r="A49" s="139"/>
      <c r="B49" s="139"/>
      <c r="C49" s="139"/>
      <c r="D49" s="139"/>
      <c r="E49" s="139"/>
      <c r="F49" s="139"/>
      <c r="G49" s="139"/>
      <c r="H49" s="139"/>
      <c r="J49" s="141"/>
      <c r="K49" s="141"/>
    </row>
    <row r="62" ht="12.75">
      <c r="C62" s="142"/>
    </row>
    <row r="63" ht="12.75">
      <c r="C63" s="142"/>
    </row>
    <row r="64" ht="12.75">
      <c r="C64" s="142"/>
    </row>
    <row r="65" ht="12.75">
      <c r="C65" s="142"/>
    </row>
    <row r="66" ht="12.75">
      <c r="C66" s="142"/>
    </row>
    <row r="67" ht="12.75">
      <c r="C67" s="142"/>
    </row>
    <row r="68" ht="12.75">
      <c r="C68" s="142"/>
    </row>
    <row r="69" ht="12.75">
      <c r="C69" s="142"/>
    </row>
    <row r="70" ht="12.75">
      <c r="C70" s="142"/>
    </row>
    <row r="71" ht="12.75">
      <c r="C71" s="142"/>
    </row>
    <row r="72" ht="12.75">
      <c r="C72" s="142"/>
    </row>
    <row r="73" ht="12.75">
      <c r="C73" s="142"/>
    </row>
    <row r="74" ht="12.75">
      <c r="C74" s="142"/>
    </row>
    <row r="75" ht="12.75">
      <c r="C75" s="142"/>
    </row>
    <row r="76" ht="12.75">
      <c r="C76" s="142"/>
    </row>
    <row r="77" ht="12.75">
      <c r="C77" s="142"/>
    </row>
    <row r="78" ht="12.75">
      <c r="C78" s="142"/>
    </row>
    <row r="79" ht="12.75">
      <c r="C79" s="142"/>
    </row>
    <row r="80" ht="12.75">
      <c r="C80" s="142"/>
    </row>
    <row r="81" ht="12.75">
      <c r="C81" s="142"/>
    </row>
    <row r="82" ht="12.75">
      <c r="C82" s="142"/>
    </row>
    <row r="83" ht="12.75">
      <c r="C83" s="142"/>
    </row>
    <row r="84" ht="12.75">
      <c r="C84" s="142"/>
    </row>
    <row r="85" ht="12.75">
      <c r="C85" s="142"/>
    </row>
    <row r="86" ht="12.75">
      <c r="C86" s="142"/>
    </row>
    <row r="87" ht="12.75">
      <c r="C87" s="142"/>
    </row>
    <row r="88" ht="12.75">
      <c r="C88" s="142"/>
    </row>
    <row r="89" ht="12.75">
      <c r="C89" s="142"/>
    </row>
    <row r="90" ht="12.75">
      <c r="C90" s="142"/>
    </row>
    <row r="91" ht="12.75">
      <c r="C91" s="142"/>
    </row>
    <row r="92" ht="12.75">
      <c r="C92" s="142"/>
    </row>
    <row r="93" ht="12.75">
      <c r="C93" s="142"/>
    </row>
    <row r="94" ht="12.75">
      <c r="C94" s="142"/>
    </row>
    <row r="95" ht="12.75">
      <c r="C95" s="142"/>
    </row>
    <row r="96" ht="12.75">
      <c r="C96" s="142"/>
    </row>
    <row r="97" ht="12.75">
      <c r="C97" s="142"/>
    </row>
  </sheetData>
  <sheetProtection/>
  <mergeCells count="6">
    <mergeCell ref="A1:K1"/>
    <mergeCell ref="J4:K4"/>
    <mergeCell ref="B4:C4"/>
    <mergeCell ref="D4:E4"/>
    <mergeCell ref="F4:G4"/>
    <mergeCell ref="H4:I4"/>
  </mergeCells>
  <printOptions/>
  <pageMargins left="1.35" right="0.7" top="0.73" bottom="0.62" header="0.37" footer="0.31"/>
  <pageSetup horizontalDpi="600" verticalDpi="600" orientation="landscape" scale="98" r:id="rId1"/>
  <headerFooter alignWithMargins="0">
    <oddHeader>&amp;CArea &amp; Production of Plantations for the Year 2007-08&amp;R&amp;"Arial,Bold"&amp;8Area in '000' HA
Prodcution in '000' MT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DILIP</dc:creator>
  <cp:keywords/>
  <dc:description/>
  <cp:lastModifiedBy>pcuser</cp:lastModifiedBy>
  <cp:lastPrinted>2010-02-25T05:08:27Z</cp:lastPrinted>
  <dcterms:created xsi:type="dcterms:W3CDTF">2009-01-06T09:24:05Z</dcterms:created>
  <dcterms:modified xsi:type="dcterms:W3CDTF">2010-04-08T06:45:23Z</dcterms:modified>
  <cp:category/>
  <cp:version/>
  <cp:contentType/>
  <cp:contentStatus/>
</cp:coreProperties>
</file>